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16" i="1" l="1"/>
  <c r="Q16" i="1"/>
  <c r="I16" i="1"/>
  <c r="T15" i="1"/>
  <c r="Q15" i="1"/>
  <c r="I15" i="1"/>
  <c r="T14" i="1"/>
  <c r="Q14" i="1"/>
  <c r="I14" i="1"/>
  <c r="T13" i="1"/>
  <c r="Q13" i="1"/>
  <c r="I13" i="1"/>
  <c r="T12" i="1"/>
  <c r="Q12" i="1"/>
  <c r="I12" i="1"/>
  <c r="T11" i="1"/>
  <c r="Q11" i="1"/>
  <c r="I11" i="1" l="1"/>
  <c r="X11" i="1" s="1"/>
  <c r="X16" i="1"/>
  <c r="X15" i="1"/>
  <c r="X14" i="1"/>
  <c r="X13" i="1"/>
  <c r="X12" i="1"/>
  <c r="Y16" i="1" l="1"/>
  <c r="Z16" i="1"/>
  <c r="Y15" i="1"/>
  <c r="Z15" i="1"/>
  <c r="Y14" i="1"/>
  <c r="Z14" i="1"/>
  <c r="Y13" i="1"/>
  <c r="Z13" i="1"/>
  <c r="Y12" i="1"/>
  <c r="Z12" i="1"/>
  <c r="Y11" i="1"/>
  <c r="Z11"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X10" i="1" l="1"/>
  <c r="Y10" i="1" s="1"/>
  <c r="Z10" i="1" l="1"/>
  <c r="AB33" i="19" l="1"/>
  <c r="V13" i="19"/>
  <c r="AH23" i="19"/>
  <c r="J23" i="19"/>
  <c r="AB43" i="19"/>
  <c r="P43" i="19"/>
  <c r="AB53" i="19"/>
  <c r="V33" i="19"/>
  <c r="P13" i="19"/>
  <c r="J43" i="19"/>
  <c r="V23" i="19"/>
  <c r="J53" i="19"/>
  <c r="AH43" i="19"/>
  <c r="AH13" i="19"/>
  <c r="P53" i="19"/>
  <c r="V43" i="19"/>
  <c r="J13" i="19"/>
  <c r="P33" i="19"/>
  <c r="J33" i="19"/>
  <c r="V53" i="19"/>
  <c r="AH33" i="19"/>
  <c r="AB23" i="19"/>
  <c r="AH53" i="19"/>
  <c r="P23" i="19"/>
  <c r="AB13"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AB16" i="1" s="1"/>
  <c r="AA16" i="1" s="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J12" i="19" l="1"/>
  <c r="J22" i="19"/>
  <c r="J42" i="19"/>
  <c r="AH32" i="19"/>
  <c r="V12" i="19"/>
  <c r="AH22" i="19"/>
  <c r="P42" i="19"/>
  <c r="AC16" i="1"/>
  <c r="AB12" i="19"/>
  <c r="AH52" i="19"/>
  <c r="J32" i="19"/>
  <c r="V22" i="19"/>
  <c r="AH42" i="19"/>
  <c r="AB32" i="19"/>
  <c r="V52" i="19"/>
  <c r="P22" i="19"/>
  <c r="V32" i="19"/>
  <c r="AB52" i="19"/>
  <c r="J52" i="19"/>
  <c r="P32" i="19"/>
  <c r="AB42" i="19"/>
  <c r="P12" i="19"/>
  <c r="AH12" i="19"/>
  <c r="V42" i="19"/>
  <c r="AB22" i="19"/>
  <c r="P52" i="19"/>
  <c r="J11" i="19"/>
  <c r="AB21" i="19"/>
  <c r="J31" i="19"/>
  <c r="AC15" i="1"/>
  <c r="P41" i="19"/>
  <c r="AB31" i="19"/>
  <c r="P21" i="19"/>
  <c r="V31" i="19"/>
  <c r="AB11" i="19"/>
  <c r="V21" i="19"/>
  <c r="V51" i="19"/>
  <c r="AH51" i="19"/>
  <c r="J41" i="19"/>
  <c r="V11" i="19"/>
  <c r="P31" i="19"/>
  <c r="AB41" i="19"/>
  <c r="AH41" i="19"/>
  <c r="J21" i="19"/>
  <c r="AB51" i="19"/>
  <c r="V41" i="19"/>
  <c r="AH21" i="19"/>
  <c r="P51" i="19"/>
  <c r="AH31" i="19"/>
  <c r="J51" i="19"/>
  <c r="AH11" i="19"/>
  <c r="P1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15" i="1" l="1"/>
  <c r="K16" i="1"/>
  <c r="K10" i="1"/>
  <c r="K13" i="1"/>
  <c r="K12" i="1"/>
  <c r="K11" i="1"/>
  <c r="K14" i="1"/>
  <c r="P36" i="18" l="1"/>
  <c r="V20" i="18"/>
  <c r="J20" i="18"/>
  <c r="AB44" i="18"/>
  <c r="V12" i="18"/>
  <c r="J44" i="18"/>
  <c r="P12" i="18"/>
  <c r="P20" i="18"/>
  <c r="V44" i="18"/>
  <c r="V28" i="18"/>
  <c r="AH28" i="18"/>
  <c r="J12" i="18"/>
  <c r="AH12" i="18"/>
  <c r="AB20" i="18"/>
  <c r="AB28" i="18"/>
  <c r="AH20" i="18"/>
  <c r="J36" i="18"/>
  <c r="J28" i="18"/>
  <c r="AH44" i="18"/>
  <c r="V36" i="18"/>
  <c r="P28" i="18"/>
  <c r="P44" i="18"/>
  <c r="AH36" i="18"/>
  <c r="AB12" i="18"/>
  <c r="AB36" i="18"/>
  <c r="AD26" i="18"/>
  <c r="X18" i="18"/>
  <c r="AJ10" i="18"/>
  <c r="R34" i="18"/>
  <c r="R42" i="18"/>
  <c r="X42" i="18"/>
  <c r="L10" i="18"/>
  <c r="X34" i="18"/>
  <c r="AD42" i="18"/>
  <c r="L18" i="18"/>
  <c r="L34" i="18"/>
  <c r="X26" i="18"/>
  <c r="AD34" i="18"/>
  <c r="L42" i="18"/>
  <c r="X10" i="18"/>
  <c r="AJ34" i="18"/>
  <c r="AJ26" i="18"/>
  <c r="AJ42" i="18"/>
  <c r="AJ18" i="18"/>
  <c r="AD10" i="18"/>
  <c r="L26" i="18"/>
  <c r="R18" i="18"/>
  <c r="R26" i="18"/>
  <c r="AD18" i="18"/>
  <c r="R10" i="18"/>
  <c r="AF34" i="18"/>
  <c r="AL10" i="18"/>
  <c r="N18" i="18"/>
  <c r="N26" i="18"/>
  <c r="Z26" i="18"/>
  <c r="T10" i="18"/>
  <c r="T42" i="18"/>
  <c r="AF42" i="18"/>
  <c r="AL26" i="18"/>
  <c r="T26" i="18"/>
  <c r="AL18" i="18"/>
  <c r="Z42" i="18"/>
  <c r="N42" i="18"/>
  <c r="AF26" i="18"/>
  <c r="AF10" i="18"/>
  <c r="N10" i="18"/>
  <c r="AL42" i="18"/>
  <c r="T18" i="18"/>
  <c r="Z18" i="18"/>
  <c r="Z10" i="18"/>
  <c r="T34" i="18"/>
  <c r="AF18" i="18"/>
  <c r="Z34" i="18"/>
  <c r="N34" i="18"/>
  <c r="AL34" i="18"/>
  <c r="J15" i="19" l="1"/>
  <c r="AB15" i="19"/>
  <c r="J35" i="19"/>
  <c r="AH15" i="19"/>
  <c r="J45" i="19"/>
  <c r="AH45" i="19"/>
  <c r="AB25" i="19"/>
  <c r="AB45" i="19"/>
  <c r="V25" i="19"/>
  <c r="P45" i="19"/>
  <c r="J55" i="19"/>
  <c r="AH35" i="19"/>
  <c r="AH25" i="19"/>
  <c r="V45" i="19"/>
  <c r="AH55" i="19"/>
  <c r="V15" i="19"/>
  <c r="AB35" i="19"/>
  <c r="AB55" i="19"/>
  <c r="P55" i="19"/>
  <c r="V55" i="19"/>
  <c r="P15" i="19"/>
  <c r="V35" i="19"/>
  <c r="P25" i="19"/>
  <c r="J25" i="19"/>
  <c r="P3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<sst xmlns="http://schemas.openxmlformats.org/spreadsheetml/2006/main" count="448" uniqueCount="249">
  <si>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</si>
  <si>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</si>
  <si>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</si>
  <si>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</si>
  <si>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</si>
  <si>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</si>
  <si>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</si>
  <si>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</si>
  <si>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</si>
  <si>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</si>
  <si>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</si>
  <si>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</si>
  <si>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</si>
  <si>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</si>
  <si>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</si>
  <si>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</si>
  <si>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</si>
  <si>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</si>
  <si>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</si>
  <si>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</si>
  <si>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</si>
  <si>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</si>
  <si>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</si>
  <si>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</si>
  <si>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</si>
  <si>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</si>
  <si>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</si>
  <si>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</si>
  <si>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</si>
  <si>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</si>
  <si>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</si>
  <si>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</si>
  <si>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</si>
  <si>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</si>
  <si>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</si>
  <si>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</si>
  <si>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</si>
  <si>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</si>
  <si>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</si>
  <si>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</si>
  <si>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</si>
  <si>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</si>
  <si>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</si>
  <si>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</si>
  <si>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</si>
  <si>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</si>
  <si>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</si>
  <si>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</si>
  <si>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</si>
  <si>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</si>
  <si>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</si>
  <si>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</si>
  <si>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</si>
  <si>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</si>
  <si>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</si>
  <si>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</si>
  <si>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</si>
  <si>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</si>
  <si>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</si>
  <si>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</si>
  <si>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</si>
  <si>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</si>
  <si>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</si>
  <si>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</si>
  <si>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</si>
  <si>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</si>
  <si>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</si>
  <si>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</si>
  <si>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</si>
  <si>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</si>
  <si>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</si>
  <si>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</si>
  <si>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</si>
  <si>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</si>
  <si>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</si>
  <si>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</si>
  <si>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</si>
  <si>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</si>
  <si>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</si>
  <si>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</si>
  <si>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</si>
  <si>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</si>
  <si>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</si>
  <si>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</si>
  <si>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</si>
  <si>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</si>
  <si>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</si>
  <si>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</si>
  <si>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</si>
  <si>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</si>
  <si>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</si>
  <si>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</si>
  <si>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</si>
  <si>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</si>
  <si>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</si>
  <si>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</si>
  <si>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</si>
  <si>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</si>
  <si>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</si>
  <si>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</si>
  <si>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</si>
  <si>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</si>
  <si>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</si>
  <si>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</si>
  <si>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</si>
  <si>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</si>
  <si>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</si>
  <si>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</si>
  <si>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</si>
  <si>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</si>
  <si>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</si>
  <si>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</si>
  <si>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</si>
  <si>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</si>
  <si>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</si>
  <si>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</si>
  <si>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</si>
  <si>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</si>
  <si>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</si>
  <si>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</si>
  <si>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</si>
  <si>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</si>
  <si>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</si>
  <si>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</si>
  <si>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</si>
  <si>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</si>
  <si>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</si>
  <si>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</si>
  <si>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</si>
  <si>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</si>
  <si>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</si>
  <si>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</si>
  <si>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</si>
  <si>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</si>
  <si>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</si>
  <si>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</si>
  <si>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</si>
  <si>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</si>
  <si>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</si>
  <si>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</si>
  <si>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</si>
  <si>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</si>
  <si>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</si>
  <si>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</si>
  <si>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</si>
  <si>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</si>
  <si>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</si>
  <si>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</si>
  <si>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</si>
  <si>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</si>
  <si>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</si>
  <si>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</si>
  <si>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</si>
  <si>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</si>
  <si>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</si>
  <si>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</si>
  <si>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</si>
  <si>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</si>
  <si>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</si>
  <si>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</si>
  <si>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</si>
  <si>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</si>
  <si>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</si>
  <si>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</si>
  <si>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</si>
  <si>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</si>
  <si>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</si>
  <si>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</si>
  <si>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</si>
  <si>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</si>
  <si>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</si>
  <si>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</si>
  <si>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</si>
  <si>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</si>
  <si>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</si>
  <si>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</si>
  <si>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</si>
  <si>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</si>
  <si>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</si>
  <si>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</si>
  <si>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</si>
  <si>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</si>
  <si>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</si>
  <si>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</si>
  <si>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</si>
  <si>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</si>
  <si>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</si>
  <si>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</si>
  <si>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</si>
  <si>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</si>
  <si>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</si>
  <si>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</si>
  <si>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</si>
  <si>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</si>
  <si>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</si>
  <si>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</si>
  <si>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</si>
  <si>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</si>
  <si>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</si>
  <si>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</si>
  <si>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</si>
  <si>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</si>
  <si>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</si>
  <si>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</si>
  <si>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</si>
  <si>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</si>
  <si>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</si>
  <si>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</si>
  <si>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</si>
  <si>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</si>
  <si>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</si>
  <si>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</si>
  <si>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</si>
  <si>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TECNOLOGICA</t>
  </si>
  <si>
    <t>PLANEAR, ORGANIZAR, COORDINAR Y CONTROLAR LOS COMPONENTES RELACIONADOS CON LA PLATAFORMA TECNOLÓGICA DE LA EDAT S.A. E.S.P. OFICIAL, ASESORAR Y ACOMPAÑAR A LAS DIFERENTES DEPENDENCIAS EN LA ADECUADA UTILIZACIÓN DEL HARDWARE, SOFTWARE Y LAS COMUNICACIONES, NECESARIAS PARA EL CUMPLIMIENTO DE LA MISIÓN INSTITUCIONAL.</t>
  </si>
  <si>
    <t xml:space="preserve">Inicia con la planeación de las actividades y culmina con el seguimiento y evaluación del proceso          
</t>
  </si>
  <si>
    <t>DEBILIDADES EN LOS NIVELES DE SEGURIDAD DE LA INFORMACIÓN QUE SE  MANEJA EN LA ORGANIZACIÓN                           DESCRIPCION                                      'El manejo de la información que se tiene en la entidad, presenta bastantes inconvenientes de protección de datos, perdida y modificación non- autorizada, no se garantiza la confidencialidad, integridad y la disponibilidad de los datos.</t>
  </si>
  <si>
    <t xml:space="preserve">Perdida de documentación por deterioro ambiental. Daño en los discos duros de los computadores por los repentinos cambios de voltajes dentro de la entidad. Manejo  </t>
  </si>
  <si>
    <t>ANUAL</t>
  </si>
  <si>
    <t>MEDIA</t>
  </si>
  <si>
    <t>ALTA</t>
  </si>
  <si>
    <t>MAYOR</t>
  </si>
  <si>
    <t>Caracterización del Proceso de Gestión Tecnológica, documentos y formatos para su operación
Politicas de Seguridad de la Información
PETIC actualizado</t>
  </si>
  <si>
    <t>Secretaría General - Equipo Gestión Tecnológica</t>
  </si>
  <si>
    <t>Junio a Diciembre 2022</t>
  </si>
  <si>
    <t xml:space="preserve">SABOTAJE                           DESCRIPCION                                    'Se puede evidenciar cuando el personal de contratistas que cumplen su periodo laboral dentro de la entidad se va y no se deja un backup de la información y de los multiples procesos que manejó en el periodo en el que laboro dentro de la entidad. </t>
  </si>
  <si>
    <t>Perdida de información valioza para los diferentes procesos que se llevan al interior de la entidad. Perdida de documentación que no ha sido digitalizada en los diferentes procesos contractuales.</t>
  </si>
  <si>
    <t>VIGENCIA</t>
  </si>
  <si>
    <t>MODERADO</t>
  </si>
  <si>
    <t xml:space="preserve">                  CABLEADO ELECTRICO ES BASTANTE DEFECTUOSO Y ANTIGUO DENTRO DE LA ORGANIZACIÓN                                  DESCRIPCION                                        'Se presenta por multiples fallas en la infraestructura electrica dentro de la edificación lo cual hace que constantemente se presenten cortes y deterioro de los elementos como toma corrientes.  </t>
  </si>
  <si>
    <t xml:space="preserve">Corto circuitos en los toma corriente. Cableado deficiente y antiguo. </t>
  </si>
  <si>
    <t>DEBILIDADES EN LA ACTUALIZACIÓN E IMPLEMENTACIÓN DE  POLÍTICAS DE SEGURIDAD DE LA INFORMACIÓN Y PETIC  DESCRIPCION                                     'En la entidad no hay un manual de seguridad de la información, no existen políticas de seguridad de la información y hasta ahora se esta diseñando el PETIC</t>
  </si>
  <si>
    <t>La falta de políticas de seguridad de la información. Mal manejo de la información dentro de la organización. Actualizar y mejorar el PETIC.</t>
  </si>
  <si>
    <t>FALLAS EN SISTEMAS DE INFORMACIÓN O EQUIPOS DE COMUNICACIONES                   DESCRIPCION                                         'Fallas en los distintos sistemas de información o equipos de comunicación requeridos por la entidad.</t>
  </si>
  <si>
    <t xml:space="preserve">Fallas en la comunicación de las diferentes dependencias de la entidad.  </t>
  </si>
  <si>
    <t>Implementación de los proyectos definidos en el PETIC de la Entidad, según las áreas responsables y tiempos establecidos</t>
  </si>
  <si>
    <t>Actualización de las políticas de seguridad de la información  y el PETIC</t>
  </si>
  <si>
    <t xml:space="preserve">CUMPLIMIENTO DE LA NORMATIVIDAD LEGAL DESCRIPCION                                         Debido a los cambios que se estan presentando constantemente en la normatividad de la gestión tecnológica, se presentan fallas de conocimiento y de actualización de dichas nuevas normas y leyes. </t>
  </si>
  <si>
    <t>Cambios Normativos
Rotación del personal</t>
  </si>
  <si>
    <t>BAJA</t>
  </si>
  <si>
    <t>MENOR</t>
  </si>
  <si>
    <t>Actualización permanente del Normograma del proceso</t>
  </si>
  <si>
    <t>FALTA DE SERVIDORES PARA SALVAGUARDAR LA INFORMACIÓN   DESRIPCION                                              'Debido a la fatal de de servidores tanto fisico como virtuales para realizar las respectivas copias de seguridad o Backups de la información de la entidad, por parte del área de sistemas.</t>
  </si>
  <si>
    <t xml:space="preserve">La falta de que la entidad realice la compra de uno o varios servidores para que sea haga un eficiente manejo de la información y su salvaguarda para evitar perdidas de dicha información. </t>
  </si>
  <si>
    <t>Enero 10 de 2023</t>
  </si>
  <si>
    <t>Al revisar los proyectos definidos en el PETIC, se evidencia un nivel de cumplimiento menor al 40%, asociado a la disponibildiad de recursos.
Se recomienda trabajar sobre el mismo riesgo e insistir en el CIGD sobre la necesidad de asignar recursos</t>
  </si>
  <si>
    <t>Se evidencia la actualización de las Políticas para la vigencia 2023.
Se está pendiente de su aprobación por parte del CIGD que se realizará el 31 de enero de 2023.
El PETIC por ser un instrumento de proyección de 4 años, no es objteo de actualziación.</t>
  </si>
  <si>
    <t>Se evidencia la actualización del normograma para la vigencia 2022</t>
  </si>
  <si>
    <t>Formato Mapa Riesgos -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</si>
</sst>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4" fillId="0" borderId="0" applyFont="0" applyFill="0" applyBorder="0" applyAlignment="0" applyProtection="0"/>
    <xf numFmtId="0" fontId="47" fillId="0" borderId="0"/>
    <xf numFmtId="0" fontId="48" fillId="0" borderId="0"/>
    <xf numFmtId="0" fontId="5" fillId="0" borderId="0"/>
  </cellStyleXfs>
  <cellXfs count="38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23"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applyProtection="1"/>
    <xf numFmtId="0" fontId="49" fillId="3" borderId="52" xfId="2" applyFont="1" applyFill="1" applyBorder="1" applyProtection="1"/>
    <xf numFmtId="0" fontId="49" fillId="3" borderId="53" xfId="2" applyFont="1" applyFill="1" applyBorder="1" applyProtection="1"/>
    <xf numFmtId="0" fontId="16"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5" borderId="45" xfId="0" applyFont="1" applyFill="1" applyBorder="1" applyAlignment="1">
      <alignment horizontal="center" vertical="center" wrapText="1" readingOrder="1"/>
    </xf>
    <xf numFmtId="0" fontId="37" fillId="15" borderId="46"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4" xfId="2" applyFont="1" applyFill="1" applyBorder="1" applyProtection="1"/>
    <xf numFmtId="0" fontId="54" fillId="3" borderId="0" xfId="0" applyFont="1" applyFill="1" applyBorder="1" applyAlignment="1" applyProtection="1">
      <alignment horizontal="left" vertical="center" wrapText="1"/>
    </xf>
    <xf numFmtId="0" fontId="55" fillId="3" borderId="0" xfId="0" applyFont="1" applyFill="1" applyBorder="1" applyAlignment="1" applyProtection="1">
      <alignment horizontal="left" vertical="top" wrapText="1"/>
    </xf>
    <xf numFmtId="0" fontId="49" fillId="3" borderId="0" xfId="2" applyFont="1" applyFill="1" applyBorder="1" applyProtection="1"/>
    <xf numFmtId="0" fontId="49" fillId="3" borderId="15" xfId="2" applyFont="1" applyFill="1" applyBorder="1" applyProtection="1"/>
    <xf numFmtId="0" fontId="49" fillId="3" borderId="16" xfId="2" applyFont="1" applyFill="1" applyBorder="1" applyProtection="1"/>
    <xf numFmtId="0" fontId="49" fillId="3" borderId="18" xfId="2" applyFont="1" applyFill="1" applyBorder="1" applyProtection="1"/>
    <xf numFmtId="0" fontId="49" fillId="3" borderId="17" xfId="2" applyFont="1" applyFill="1" applyBorder="1" applyProtection="1"/>
    <xf numFmtId="0" fontId="53" fillId="3" borderId="0" xfId="2" applyFont="1" applyFill="1" applyBorder="1" applyAlignment="1" applyProtection="1">
      <alignment horizontal="left" vertical="center" wrapText="1"/>
    </xf>
    <xf numFmtId="0" fontId="49" fillId="3" borderId="0" xfId="2" applyFont="1" applyFill="1" applyBorder="1" applyAlignment="1" applyProtection="1">
      <alignment horizontal="left" vertical="center" wrapText="1"/>
    </xf>
    <xf numFmtId="0" fontId="49" fillId="3" borderId="0" xfId="2" quotePrefix="1" applyFont="1" applyFill="1" applyBorder="1" applyAlignment="1" applyProtection="1">
      <alignment horizontal="left" vertical="center" wrapText="1"/>
    </xf>
    <xf numFmtId="0" fontId="49" fillId="3" borderId="15" xfId="2" applyFont="1" applyFill="1" applyBorder="1" applyAlignment="1" applyProtection="1"/>
    <xf numFmtId="0" fontId="51" fillId="3" borderId="14" xfId="2" quotePrefix="1" applyFont="1" applyFill="1" applyBorder="1" applyAlignment="1" applyProtection="1">
      <alignment horizontal="left" vertical="top" wrapText="1"/>
    </xf>
    <xf numFmtId="0" fontId="52" fillId="3" borderId="0" xfId="2" quotePrefix="1" applyFont="1" applyFill="1" applyBorder="1" applyAlignment="1" applyProtection="1">
      <alignment horizontal="left" vertical="top" wrapText="1"/>
    </xf>
    <xf numFmtId="0" fontId="52"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8" fillId="3" borderId="34" xfId="0" quotePrefix="1" applyFont="1" applyFill="1" applyBorder="1" applyAlignment="1">
      <alignment horizontal="center" vertical="center" wrapText="1"/>
    </xf>
    <xf numFmtId="0" fontId="58" fillId="3" borderId="34" xfId="0" applyFont="1" applyFill="1" applyBorder="1" applyAlignment="1">
      <alignment horizontal="center" vertical="center" wrapText="1"/>
    </xf>
    <xf numFmtId="0" fontId="58" fillId="3" borderId="33" xfId="0" quotePrefix="1"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55" fillId="3" borderId="64" xfId="2" applyFont="1" applyFill="1" applyBorder="1" applyAlignment="1" applyProtection="1">
      <alignment horizontal="justify" vertical="center" wrapText="1"/>
    </xf>
    <xf numFmtId="0" fontId="55" fillId="3" borderId="65" xfId="2" applyFont="1" applyFill="1" applyBorder="1" applyAlignment="1" applyProtection="1">
      <alignment horizontal="justify" vertical="center" wrapText="1"/>
    </xf>
    <xf numFmtId="0" fontId="54" fillId="3" borderId="71" xfId="0" applyFont="1" applyFill="1" applyBorder="1" applyAlignment="1" applyProtection="1">
      <alignment horizontal="left" vertical="center" wrapText="1"/>
    </xf>
    <xf numFmtId="0" fontId="54" fillId="3" borderId="72" xfId="0" applyFont="1" applyFill="1" applyBorder="1" applyAlignment="1" applyProtection="1">
      <alignment horizontal="left" vertical="center" wrapText="1"/>
    </xf>
    <xf numFmtId="0" fontId="54" fillId="3" borderId="58" xfId="3" applyFont="1" applyFill="1" applyBorder="1" applyAlignment="1" applyProtection="1">
      <alignment horizontal="left" vertical="top" wrapText="1" readingOrder="1"/>
    </xf>
    <xf numFmtId="0" fontId="54" fillId="3" borderId="59" xfId="3" applyFont="1" applyFill="1" applyBorder="1" applyAlignment="1" applyProtection="1">
      <alignment horizontal="left" vertical="top" wrapText="1" readingOrder="1"/>
    </xf>
    <xf numFmtId="0" fontId="55" fillId="3" borderId="60" xfId="2" applyFont="1" applyFill="1" applyBorder="1" applyAlignment="1" applyProtection="1">
      <alignment horizontal="justify" vertical="center" wrapText="1"/>
    </xf>
    <xf numFmtId="0" fontId="55" fillId="3" borderId="61" xfId="2" applyFont="1" applyFill="1" applyBorder="1" applyAlignment="1" applyProtection="1">
      <alignment horizontal="justify" vertical="center" wrapText="1"/>
    </xf>
    <xf numFmtId="0" fontId="54" fillId="3" borderId="62" xfId="0" applyFont="1" applyFill="1" applyBorder="1" applyAlignment="1" applyProtection="1">
      <alignment horizontal="left" vertical="center" wrapText="1"/>
    </xf>
    <xf numFmtId="0" fontId="54" fillId="3" borderId="63" xfId="0" applyFont="1" applyFill="1" applyBorder="1" applyAlignment="1" applyProtection="1">
      <alignment horizontal="left" vertical="center" wrapText="1"/>
    </xf>
    <xf numFmtId="0" fontId="49" fillId="3" borderId="14" xfId="2" applyFont="1" applyFill="1" applyBorder="1" applyAlignment="1" applyProtection="1">
      <alignment horizontal="left" vertical="top" wrapText="1"/>
    </xf>
    <xf numFmtId="0" fontId="49" fillId="3" borderId="0" xfId="2" applyFont="1" applyFill="1" applyBorder="1" applyAlignment="1" applyProtection="1">
      <alignment horizontal="left" vertical="top" wrapText="1"/>
    </xf>
    <xf numFmtId="0" fontId="49" fillId="3" borderId="15" xfId="2" applyFont="1" applyFill="1" applyBorder="1" applyAlignment="1" applyProtection="1">
      <alignment horizontal="left" vertical="top" wrapText="1"/>
    </xf>
    <xf numFmtId="0" fontId="54" fillId="3" borderId="73" xfId="0" applyFont="1" applyFill="1" applyBorder="1" applyAlignment="1" applyProtection="1">
      <alignment horizontal="left" vertical="center" wrapText="1"/>
    </xf>
    <xf numFmtId="0" fontId="54" fillId="3" borderId="74" xfId="0" applyFont="1" applyFill="1" applyBorder="1" applyAlignment="1" applyProtection="1">
      <alignment horizontal="left" vertical="center" wrapText="1"/>
    </xf>
    <xf numFmtId="0" fontId="55" fillId="3" borderId="66" xfId="0" applyFont="1" applyFill="1" applyBorder="1" applyAlignment="1" applyProtection="1">
      <alignment horizontal="justify" vertical="center" wrapText="1"/>
    </xf>
    <xf numFmtId="0" fontId="55" fillId="3" borderId="67" xfId="0" applyFont="1" applyFill="1" applyBorder="1" applyAlignment="1" applyProtection="1">
      <alignment horizontal="justify" vertical="center" wrapText="1"/>
    </xf>
    <xf numFmtId="0" fontId="50" fillId="14" borderId="48" xfId="2" applyFont="1" applyFill="1" applyBorder="1" applyAlignment="1" applyProtection="1">
      <alignment horizontal="center" vertical="center" wrapText="1"/>
    </xf>
    <xf numFmtId="0" fontId="50" fillId="14" borderId="49" xfId="2" applyFont="1" applyFill="1" applyBorder="1" applyAlignment="1" applyProtection="1">
      <alignment horizontal="center" vertical="center" wrapText="1"/>
    </xf>
    <xf numFmtId="0" fontId="50" fillId="14" borderId="50" xfId="2" applyFont="1" applyFill="1" applyBorder="1" applyAlignment="1" applyProtection="1">
      <alignment horizontal="center" vertical="center" wrapText="1"/>
    </xf>
    <xf numFmtId="0" fontId="49" fillId="0" borderId="14" xfId="2" quotePrefix="1" applyFont="1" applyBorder="1" applyAlignment="1" applyProtection="1">
      <alignment horizontal="left" vertical="center" wrapText="1"/>
    </xf>
    <xf numFmtId="0" fontId="49" fillId="0" borderId="0" xfId="2" quotePrefix="1" applyFont="1" applyBorder="1" applyAlignment="1" applyProtection="1">
      <alignment horizontal="left" vertical="center" wrapText="1"/>
    </xf>
    <xf numFmtId="0" fontId="49" fillId="0" borderId="15" xfId="2" quotePrefix="1" applyFont="1" applyBorder="1" applyAlignment="1" applyProtection="1">
      <alignment horizontal="left" vertical="center" wrapText="1"/>
    </xf>
    <xf numFmtId="0" fontId="49" fillId="0" borderId="68" xfId="2" quotePrefix="1" applyFont="1" applyBorder="1" applyAlignment="1" applyProtection="1">
      <alignment horizontal="left" vertical="center" wrapText="1"/>
    </xf>
    <xf numFmtId="0" fontId="49" fillId="0" borderId="69" xfId="2" quotePrefix="1" applyFont="1" applyBorder="1" applyAlignment="1" applyProtection="1">
      <alignment horizontal="left" vertical="center" wrapText="1"/>
    </xf>
    <xf numFmtId="0" fontId="49" fillId="0" borderId="70" xfId="2" quotePrefix="1" applyFont="1" applyBorder="1" applyAlignment="1" applyProtection="1">
      <alignment horizontal="left" vertical="center" wrapText="1"/>
    </xf>
    <xf numFmtId="0" fontId="51" fillId="3" borderId="51" xfId="2" quotePrefix="1" applyFont="1" applyFill="1" applyBorder="1" applyAlignment="1" applyProtection="1">
      <alignment horizontal="left" vertical="top" wrapText="1"/>
    </xf>
    <xf numFmtId="0" fontId="52" fillId="3" borderId="52" xfId="2" quotePrefix="1" applyFont="1" applyFill="1" applyBorder="1" applyAlignment="1" applyProtection="1">
      <alignment horizontal="left" vertical="top" wrapText="1"/>
    </xf>
    <xf numFmtId="0" fontId="52" fillId="3" borderId="53" xfId="2" quotePrefix="1" applyFont="1" applyFill="1" applyBorder="1" applyAlignment="1" applyProtection="1">
      <alignment horizontal="left" vertical="top" wrapText="1"/>
    </xf>
    <xf numFmtId="0" fontId="49" fillId="0" borderId="14" xfId="2" quotePrefix="1" applyFont="1" applyBorder="1" applyAlignment="1" applyProtection="1">
      <alignment horizontal="left" vertical="top" wrapText="1"/>
    </xf>
    <xf numFmtId="0" fontId="49" fillId="0" borderId="0" xfId="2" quotePrefix="1" applyFont="1" applyBorder="1" applyAlignment="1" applyProtection="1">
      <alignment horizontal="left" vertical="top" wrapText="1"/>
    </xf>
    <xf numFmtId="0" fontId="49" fillId="0" borderId="15" xfId="2" quotePrefix="1" applyFont="1" applyBorder="1" applyAlignment="1" applyProtection="1">
      <alignment horizontal="left" vertical="top" wrapText="1"/>
    </xf>
    <xf numFmtId="0" fontId="54" fillId="14" borderId="54" xfId="3" applyFont="1" applyFill="1" applyBorder="1" applyAlignment="1" applyProtection="1">
      <alignment horizontal="center" vertical="center" wrapText="1"/>
    </xf>
    <xf numFmtId="0" fontId="54" fillId="14" borderId="55" xfId="3" applyFont="1" applyFill="1" applyBorder="1" applyAlignment="1" applyProtection="1">
      <alignment horizontal="center" vertical="center" wrapText="1"/>
    </xf>
    <xf numFmtId="0" fontId="54" fillId="14" borderId="56" xfId="2" applyFont="1" applyFill="1" applyBorder="1" applyAlignment="1" applyProtection="1">
      <alignment horizontal="center" vertical="center"/>
    </xf>
    <xf numFmtId="0" fontId="54"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3"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4" fillId="2" borderId="6" xfId="0" applyFont="1" applyFill="1" applyBorder="1" applyAlignment="1">
      <alignment horizontal="left" vertical="center"/>
    </xf>
    <xf numFmtId="0" fontId="24" fillId="2" borderId="7" xfId="0" applyFont="1" applyFill="1" applyBorder="1" applyAlignment="1">
      <alignment horizontal="left" vertical="center"/>
    </xf>
    <xf numFmtId="0" fontId="26" fillId="3" borderId="6"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47" fillId="0" borderId="35" xfId="0" applyFont="1" applyBorder="1" applyAlignment="1">
      <alignment horizontal="left" vertical="center" wrapText="1"/>
    </xf>
    <xf numFmtId="0" fontId="47" fillId="0" borderId="36" xfId="0" applyFont="1" applyBorder="1" applyAlignment="1">
      <alignment horizontal="left" vertical="center" wrapText="1"/>
    </xf>
    <xf numFmtId="0" fontId="47" fillId="0" borderId="47" xfId="0" applyFont="1" applyBorder="1" applyAlignment="1">
      <alignment horizontal="left" vertical="center" wrapText="1"/>
    </xf>
    <xf numFmtId="0" fontId="7" fillId="3" borderId="6"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6" fillId="2" borderId="4" xfId="0" applyFont="1" applyFill="1" applyBorder="1" applyAlignment="1">
      <alignment horizontal="center" vertical="center" textRotation="90"/>
    </xf>
    <xf numFmtId="0" fontId="26"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0" xfId="0" applyFont="1" applyBorder="1" applyAlignment="1">
      <alignment horizontal="center" vertical="center"/>
    </xf>
    <xf numFmtId="0" fontId="17" fillId="0" borderId="19" xfId="0" applyFont="1" applyBorder="1" applyAlignment="1">
      <alignment horizontal="center" vertical="center" wrapText="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Border="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Border="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Border="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Border="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5" xfId="0" applyFont="1" applyFill="1" applyBorder="1" applyAlignment="1">
      <alignment horizontal="center" vertical="center" wrapText="1" readingOrder="1"/>
    </xf>
    <xf numFmtId="0" fontId="40" fillId="15" borderId="36" xfId="0" applyFont="1" applyFill="1" applyBorder="1" applyAlignment="1">
      <alignment horizontal="center" vertical="center" wrapText="1" readingOrder="1"/>
    </xf>
    <xf numFmtId="0" fontId="40" fillId="15" borderId="47" xfId="0" applyFont="1" applyFill="1" applyBorder="1" applyAlignment="1">
      <alignment horizontal="center" vertical="center" wrapText="1" readingOrder="1"/>
    </xf>
    <xf numFmtId="0" fontId="35" fillId="3" borderId="0" xfId="0" applyFont="1" applyFill="1" applyBorder="1" applyAlignment="1">
      <alignment horizontal="justify" vertical="center" wrapText="1"/>
    </xf>
    <xf numFmtId="0" fontId="37" fillId="15" borderId="44" xfId="0" applyFont="1" applyFill="1" applyBorder="1" applyAlignment="1">
      <alignment horizontal="center" vertical="center" wrapText="1" readingOrder="1"/>
    </xf>
    <xf numFmtId="0" fontId="37" fillId="15"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25" fillId="2" borderId="28" xfId="0" applyFont="1" applyFill="1" applyBorder="1" applyAlignment="1">
      <alignment horizontal="left" vertical="center"/>
    </xf>
    <xf numFmtId="0" fontId="25" fillId="2" borderId="29" xfId="0" applyFont="1" applyFill="1" applyBorder="1" applyAlignment="1">
      <alignment horizontal="left" vertical="center"/>
    </xf>
    <xf numFmtId="0" fontId="25" fillId="2" borderId="30" xfId="0" applyFont="1" applyFill="1" applyBorder="1" applyAlignment="1">
      <alignment horizontal="left" vertical="center"/>
    </xf>
    <xf numFmtId="0" fontId="25" fillId="2" borderId="3" xfId="0" applyFont="1" applyFill="1" applyBorder="1" applyAlignment="1">
      <alignment horizontal="left" vertical="center"/>
    </xf>
    <xf numFmtId="0" fontId="25" fillId="2" borderId="31" xfId="0" applyFont="1" applyFill="1" applyBorder="1" applyAlignment="1">
      <alignment horizontal="left" vertical="center"/>
    </xf>
    <xf numFmtId="0" fontId="25" fillId="2" borderId="32" xfId="0" applyFont="1" applyFill="1" applyBorder="1" applyAlignment="1">
      <alignment horizontal="left" vertical="center"/>
    </xf>
  </cellXfs>
  <cellStyles count="5">
    <cellStyle name="Normal" xfId="0" builtinId="0"/>
    <cellStyle name="Normal - Style1 2" xfId="2"/>
    <cellStyle name="Normal 2" xfId="4"/>
    <cellStyle name="Normal 2 2" xfId="3"/>
    <cellStyle name="Porcentaje" xfId="1" builtinId="5"/>
  </cellStyles>
  <dxfs count="240">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72971</xdr:colOff>
      <xdr:row>2</xdr:row>
      <xdr:rowOff>163286</xdr:rowOff>
    </xdr:from>
    <xdr:to>
      <xdr:col>22</xdr:col>
      <xdr:colOff>334736</xdr:colOff>
      <xdr:row>5</xdr:row>
      <xdr:rowOff>478972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8407" y="683838"/>
          <a:ext cx="1889876" cy="123496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39" dataDxfId="238">
  <autoFilter ref="B209:C219"/>
  <tableColumns count="2">
    <tableColumn id="1" name="Criterios" dataDxfId="237"/>
    <tableColumn id="2" name="Subcriterios" dataDxfId="23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69" t="s">
        <v>165</v>
      </c>
      <c r="C2" s="170"/>
      <c r="D2" s="170"/>
      <c r="E2" s="170"/>
      <c r="F2" s="170"/>
      <c r="G2" s="170"/>
      <c r="H2" s="171"/>
    </row>
    <row r="3" spans="2:8" x14ac:dyDescent="0.4">
      <c r="B3" s="85"/>
      <c r="C3" s="86"/>
      <c r="D3" s="86"/>
      <c r="E3" s="86"/>
      <c r="F3" s="86"/>
      <c r="G3" s="86"/>
      <c r="H3" s="87"/>
    </row>
    <row r="4" spans="2:8" ht="63" customHeight="1" x14ac:dyDescent="0.4">
      <c r="B4" s="172" t="s">
        <v>208</v>
      </c>
      <c r="C4" s="173"/>
      <c r="D4" s="173"/>
      <c r="E4" s="173"/>
      <c r="F4" s="173"/>
      <c r="G4" s="173"/>
      <c r="H4" s="174"/>
    </row>
    <row r="5" spans="2:8" ht="63" customHeight="1" x14ac:dyDescent="0.4">
      <c r="B5" s="175"/>
      <c r="C5" s="176"/>
      <c r="D5" s="176"/>
      <c r="E5" s="176"/>
      <c r="F5" s="176"/>
      <c r="G5" s="176"/>
      <c r="H5" s="177"/>
    </row>
    <row r="6" spans="2:8" x14ac:dyDescent="0.4">
      <c r="B6" s="178" t="s">
        <v>163</v>
      </c>
      <c r="C6" s="179"/>
      <c r="D6" s="179"/>
      <c r="E6" s="179"/>
      <c r="F6" s="179"/>
      <c r="G6" s="179"/>
      <c r="H6" s="180"/>
    </row>
    <row r="7" spans="2:8" ht="95.25" customHeight="1" x14ac:dyDescent="0.4">
      <c r="B7" s="188" t="s">
        <v>168</v>
      </c>
      <c r="C7" s="189"/>
      <c r="D7" s="189"/>
      <c r="E7" s="189"/>
      <c r="F7" s="189"/>
      <c r="G7" s="189"/>
      <c r="H7" s="190"/>
    </row>
    <row r="8" spans="2:8" x14ac:dyDescent="0.4">
      <c r="B8" s="122"/>
      <c r="C8" s="123"/>
      <c r="D8" s="123"/>
      <c r="E8" s="123"/>
      <c r="F8" s="123"/>
      <c r="G8" s="123"/>
      <c r="H8" s="124"/>
    </row>
    <row r="9" spans="2:8" ht="16.5" customHeight="1" x14ac:dyDescent="0.4">
      <c r="B9" s="181" t="s">
        <v>201</v>
      </c>
      <c r="C9" s="182"/>
      <c r="D9" s="182"/>
      <c r="E9" s="182"/>
      <c r="F9" s="182"/>
      <c r="G9" s="182"/>
      <c r="H9" s="183"/>
    </row>
    <row r="10" spans="2:8" ht="44.25" customHeight="1" x14ac:dyDescent="0.4">
      <c r="B10" s="181"/>
      <c r="C10" s="182"/>
      <c r="D10" s="182"/>
      <c r="E10" s="182"/>
      <c r="F10" s="182"/>
      <c r="G10" s="182"/>
      <c r="H10" s="183"/>
    </row>
    <row r="11" spans="2:8" ht="15" thickBot="1" x14ac:dyDescent="0.45">
      <c r="B11" s="110"/>
      <c r="C11" s="113"/>
      <c r="D11" s="118"/>
      <c r="E11" s="119"/>
      <c r="F11" s="119"/>
      <c r="G11" s="120"/>
      <c r="H11" s="121"/>
    </row>
    <row r="12" spans="2:8" ht="15" thickTop="1" x14ac:dyDescent="0.4">
      <c r="B12" s="110"/>
      <c r="C12" s="184" t="s">
        <v>164</v>
      </c>
      <c r="D12" s="185"/>
      <c r="E12" s="186" t="s">
        <v>202</v>
      </c>
      <c r="F12" s="187"/>
      <c r="G12" s="113"/>
      <c r="H12" s="114"/>
    </row>
    <row r="13" spans="2:8" ht="35.25" customHeight="1" x14ac:dyDescent="0.4">
      <c r="B13" s="110"/>
      <c r="C13" s="156" t="s">
        <v>195</v>
      </c>
      <c r="D13" s="157"/>
      <c r="E13" s="158" t="s">
        <v>200</v>
      </c>
      <c r="F13" s="159"/>
      <c r="G13" s="113"/>
      <c r="H13" s="114"/>
    </row>
    <row r="14" spans="2:8" ht="17.25" customHeight="1" x14ac:dyDescent="0.4">
      <c r="B14" s="110"/>
      <c r="C14" s="156" t="s">
        <v>196</v>
      </c>
      <c r="D14" s="157"/>
      <c r="E14" s="158" t="s">
        <v>198</v>
      </c>
      <c r="F14" s="159"/>
      <c r="G14" s="113"/>
      <c r="H14" s="114"/>
    </row>
    <row r="15" spans="2:8" ht="19.5" customHeight="1" x14ac:dyDescent="0.4">
      <c r="B15" s="110"/>
      <c r="C15" s="156" t="s">
        <v>197</v>
      </c>
      <c r="D15" s="157"/>
      <c r="E15" s="158" t="s">
        <v>199</v>
      </c>
      <c r="F15" s="159"/>
      <c r="G15" s="113"/>
      <c r="H15" s="114"/>
    </row>
    <row r="16" spans="2:8" ht="69.75" customHeight="1" x14ac:dyDescent="0.4">
      <c r="B16" s="110"/>
      <c r="C16" s="156" t="s">
        <v>166</v>
      </c>
      <c r="D16" s="157"/>
      <c r="E16" s="158" t="s">
        <v>167</v>
      </c>
      <c r="F16" s="159"/>
      <c r="G16" s="113"/>
      <c r="H16" s="114"/>
    </row>
    <row r="17" spans="2:8" ht="34.5" customHeight="1" x14ac:dyDescent="0.4">
      <c r="B17" s="110"/>
      <c r="C17" s="160" t="s">
        <v>2</v>
      </c>
      <c r="D17" s="161"/>
      <c r="E17" s="152" t="s">
        <v>209</v>
      </c>
      <c r="F17" s="153"/>
      <c r="G17" s="113"/>
      <c r="H17" s="114"/>
    </row>
    <row r="18" spans="2:8" ht="27.75" customHeight="1" x14ac:dyDescent="0.4">
      <c r="B18" s="110"/>
      <c r="C18" s="160" t="s">
        <v>3</v>
      </c>
      <c r="D18" s="161"/>
      <c r="E18" s="152" t="s">
        <v>210</v>
      </c>
      <c r="F18" s="153"/>
      <c r="G18" s="113"/>
      <c r="H18" s="114"/>
    </row>
    <row r="19" spans="2:8" ht="28.5" customHeight="1" x14ac:dyDescent="0.4">
      <c r="B19" s="110"/>
      <c r="C19" s="160" t="s">
        <v>42</v>
      </c>
      <c r="D19" s="161"/>
      <c r="E19" s="152" t="s">
        <v>211</v>
      </c>
      <c r="F19" s="153"/>
      <c r="G19" s="113"/>
      <c r="H19" s="114"/>
    </row>
    <row r="20" spans="2:8" ht="72.75" customHeight="1" x14ac:dyDescent="0.4">
      <c r="B20" s="110"/>
      <c r="C20" s="160" t="s">
        <v>1</v>
      </c>
      <c r="D20" s="161"/>
      <c r="E20" s="152" t="s">
        <v>212</v>
      </c>
      <c r="F20" s="153"/>
      <c r="G20" s="113"/>
      <c r="H20" s="114"/>
    </row>
    <row r="21" spans="2:8" ht="64.5" customHeight="1" x14ac:dyDescent="0.4">
      <c r="B21" s="110"/>
      <c r="C21" s="160" t="s">
        <v>50</v>
      </c>
      <c r="D21" s="161"/>
      <c r="E21" s="152" t="s">
        <v>170</v>
      </c>
      <c r="F21" s="153"/>
      <c r="G21" s="113"/>
      <c r="H21" s="114"/>
    </row>
    <row r="22" spans="2:8" ht="71.25" customHeight="1" x14ac:dyDescent="0.4">
      <c r="B22" s="110"/>
      <c r="C22" s="160" t="s">
        <v>169</v>
      </c>
      <c r="D22" s="161"/>
      <c r="E22" s="152" t="s">
        <v>171</v>
      </c>
      <c r="F22" s="153"/>
      <c r="G22" s="113"/>
      <c r="H22" s="114"/>
    </row>
    <row r="23" spans="2:8" ht="55.5" customHeight="1" x14ac:dyDescent="0.4">
      <c r="B23" s="110"/>
      <c r="C23" s="154" t="s">
        <v>172</v>
      </c>
      <c r="D23" s="155"/>
      <c r="E23" s="152" t="s">
        <v>173</v>
      </c>
      <c r="F23" s="153"/>
      <c r="G23" s="113"/>
      <c r="H23" s="114"/>
    </row>
    <row r="24" spans="2:8" ht="42" customHeight="1" x14ac:dyDescent="0.4">
      <c r="B24" s="110"/>
      <c r="C24" s="154" t="s">
        <v>48</v>
      </c>
      <c r="D24" s="155"/>
      <c r="E24" s="152" t="s">
        <v>174</v>
      </c>
      <c r="F24" s="153"/>
      <c r="G24" s="113"/>
      <c r="H24" s="114"/>
    </row>
    <row r="25" spans="2:8" ht="59.25" customHeight="1" x14ac:dyDescent="0.4">
      <c r="B25" s="110"/>
      <c r="C25" s="154" t="s">
        <v>162</v>
      </c>
      <c r="D25" s="155"/>
      <c r="E25" s="152" t="s">
        <v>175</v>
      </c>
      <c r="F25" s="153"/>
      <c r="G25" s="113"/>
      <c r="H25" s="114"/>
    </row>
    <row r="26" spans="2:8" ht="23.25" customHeight="1" x14ac:dyDescent="0.4">
      <c r="B26" s="110"/>
      <c r="C26" s="154" t="s">
        <v>12</v>
      </c>
      <c r="D26" s="155"/>
      <c r="E26" s="152" t="s">
        <v>176</v>
      </c>
      <c r="F26" s="153"/>
      <c r="G26" s="113"/>
      <c r="H26" s="114"/>
    </row>
    <row r="27" spans="2:8" ht="30.75" customHeight="1" x14ac:dyDescent="0.4">
      <c r="B27" s="110"/>
      <c r="C27" s="154" t="s">
        <v>180</v>
      </c>
      <c r="D27" s="155"/>
      <c r="E27" s="152" t="s">
        <v>177</v>
      </c>
      <c r="F27" s="153"/>
      <c r="G27" s="113"/>
      <c r="H27" s="114"/>
    </row>
    <row r="28" spans="2:8" ht="35.25" customHeight="1" x14ac:dyDescent="0.4">
      <c r="B28" s="110"/>
      <c r="C28" s="154" t="s">
        <v>181</v>
      </c>
      <c r="D28" s="155"/>
      <c r="E28" s="152" t="s">
        <v>178</v>
      </c>
      <c r="F28" s="153"/>
      <c r="G28" s="113"/>
      <c r="H28" s="114"/>
    </row>
    <row r="29" spans="2:8" ht="33" customHeight="1" x14ac:dyDescent="0.4">
      <c r="B29" s="110"/>
      <c r="C29" s="154" t="s">
        <v>181</v>
      </c>
      <c r="D29" s="155"/>
      <c r="E29" s="152" t="s">
        <v>178</v>
      </c>
      <c r="F29" s="153"/>
      <c r="G29" s="113"/>
      <c r="H29" s="114"/>
    </row>
    <row r="30" spans="2:8" ht="30" customHeight="1" x14ac:dyDescent="0.4">
      <c r="B30" s="110"/>
      <c r="C30" s="154" t="s">
        <v>182</v>
      </c>
      <c r="D30" s="155"/>
      <c r="E30" s="152" t="s">
        <v>179</v>
      </c>
      <c r="F30" s="153"/>
      <c r="G30" s="113"/>
      <c r="H30" s="114"/>
    </row>
    <row r="31" spans="2:8" ht="35.25" customHeight="1" x14ac:dyDescent="0.4">
      <c r="B31" s="110"/>
      <c r="C31" s="154" t="s">
        <v>183</v>
      </c>
      <c r="D31" s="155"/>
      <c r="E31" s="152" t="s">
        <v>184</v>
      </c>
      <c r="F31" s="153"/>
      <c r="G31" s="113"/>
      <c r="H31" s="114"/>
    </row>
    <row r="32" spans="2:8" ht="31.5" customHeight="1" x14ac:dyDescent="0.4">
      <c r="B32" s="110"/>
      <c r="C32" s="154" t="s">
        <v>185</v>
      </c>
      <c r="D32" s="155"/>
      <c r="E32" s="152" t="s">
        <v>186</v>
      </c>
      <c r="F32" s="153"/>
      <c r="G32" s="113"/>
      <c r="H32" s="114"/>
    </row>
    <row r="33" spans="2:8" ht="35.25" customHeight="1" x14ac:dyDescent="0.4">
      <c r="B33" s="110"/>
      <c r="C33" s="154" t="s">
        <v>187</v>
      </c>
      <c r="D33" s="155"/>
      <c r="E33" s="152" t="s">
        <v>188</v>
      </c>
      <c r="F33" s="153"/>
      <c r="G33" s="113"/>
      <c r="H33" s="114"/>
    </row>
    <row r="34" spans="2:8" ht="59.25" customHeight="1" x14ac:dyDescent="0.4">
      <c r="B34" s="110"/>
      <c r="C34" s="154" t="s">
        <v>189</v>
      </c>
      <c r="D34" s="155"/>
      <c r="E34" s="152" t="s">
        <v>190</v>
      </c>
      <c r="F34" s="153"/>
      <c r="G34" s="113"/>
      <c r="H34" s="114"/>
    </row>
    <row r="35" spans="2:8" ht="29.25" customHeight="1" x14ac:dyDescent="0.4">
      <c r="B35" s="110"/>
      <c r="C35" s="154" t="s">
        <v>29</v>
      </c>
      <c r="D35" s="155"/>
      <c r="E35" s="152" t="s">
        <v>191</v>
      </c>
      <c r="F35" s="153"/>
      <c r="G35" s="113"/>
      <c r="H35" s="114"/>
    </row>
    <row r="36" spans="2:8" ht="82.5" customHeight="1" x14ac:dyDescent="0.4">
      <c r="B36" s="110"/>
      <c r="C36" s="154" t="s">
        <v>193</v>
      </c>
      <c r="D36" s="155"/>
      <c r="E36" s="152" t="s">
        <v>192</v>
      </c>
      <c r="F36" s="153"/>
      <c r="G36" s="113"/>
      <c r="H36" s="114"/>
    </row>
    <row r="37" spans="2:8" ht="46.5" customHeight="1" x14ac:dyDescent="0.4">
      <c r="B37" s="110"/>
      <c r="C37" s="154" t="s">
        <v>39</v>
      </c>
      <c r="D37" s="155"/>
      <c r="E37" s="152" t="s">
        <v>194</v>
      </c>
      <c r="F37" s="153"/>
      <c r="G37" s="113"/>
      <c r="H37" s="114"/>
    </row>
    <row r="38" spans="2:8" ht="6.75" customHeight="1" thickBot="1" x14ac:dyDescent="0.45">
      <c r="B38" s="110"/>
      <c r="C38" s="165"/>
      <c r="D38" s="166"/>
      <c r="E38" s="167"/>
      <c r="F38" s="168"/>
      <c r="G38" s="113"/>
      <c r="H38" s="114"/>
    </row>
    <row r="39" spans="2:8" ht="15" thickTop="1" x14ac:dyDescent="0.4">
      <c r="B39" s="110"/>
      <c r="C39" s="111"/>
      <c r="D39" s="111"/>
      <c r="E39" s="112"/>
      <c r="F39" s="112"/>
      <c r="G39" s="113"/>
      <c r="H39" s="114"/>
    </row>
    <row r="40" spans="2:8" ht="21" customHeight="1" x14ac:dyDescent="0.4">
      <c r="B40" s="162" t="s">
        <v>203</v>
      </c>
      <c r="C40" s="163"/>
      <c r="D40" s="163"/>
      <c r="E40" s="163"/>
      <c r="F40" s="163"/>
      <c r="G40" s="163"/>
      <c r="H40" s="164"/>
    </row>
    <row r="41" spans="2:8" ht="20.25" customHeight="1" x14ac:dyDescent="0.4">
      <c r="B41" s="162" t="s">
        <v>204</v>
      </c>
      <c r="C41" s="163"/>
      <c r="D41" s="163"/>
      <c r="E41" s="163"/>
      <c r="F41" s="163"/>
      <c r="G41" s="163"/>
      <c r="H41" s="164"/>
    </row>
    <row r="42" spans="2:8" ht="20.25" customHeight="1" x14ac:dyDescent="0.4">
      <c r="B42" s="162" t="s">
        <v>205</v>
      </c>
      <c r="C42" s="163"/>
      <c r="D42" s="163"/>
      <c r="E42" s="163"/>
      <c r="F42" s="163"/>
      <c r="G42" s="163"/>
      <c r="H42" s="164"/>
    </row>
    <row r="43" spans="2:8" ht="20.25" customHeight="1" x14ac:dyDescent="0.4">
      <c r="B43" s="162" t="s">
        <v>206</v>
      </c>
      <c r="C43" s="163"/>
      <c r="D43" s="163"/>
      <c r="E43" s="163"/>
      <c r="F43" s="163"/>
      <c r="G43" s="163"/>
      <c r="H43" s="164"/>
    </row>
    <row r="44" spans="2:8" x14ac:dyDescent="0.4">
      <c r="B44" s="162" t="s">
        <v>207</v>
      </c>
      <c r="C44" s="163"/>
      <c r="D44" s="163"/>
      <c r="E44" s="163"/>
      <c r="F44" s="163"/>
      <c r="G44" s="163"/>
      <c r="H44" s="164"/>
    </row>
    <row r="45" spans="2:8" ht="15" thickBot="1" x14ac:dyDescent="0.45">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19"/>
  <sheetViews>
    <sheetView tabSelected="1" zoomScale="60" zoomScaleNormal="60" workbookViewId="0">
      <selection activeCell="C6" sqref="C6:N6"/>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20.15234375" style="2" customWidth="1"/>
    <col min="5" max="5" width="32.3828125" style="1" customWidth="1"/>
    <col min="6" max="6" width="19" style="5" customWidth="1"/>
    <col min="7" max="7" width="12.53515625" style="1" customWidth="1"/>
    <col min="8" max="8" width="16.53515625" style="1" customWidth="1"/>
    <col min="9" max="9" width="6.3046875" style="1" bestFit="1" customWidth="1"/>
    <col min="10" max="10" width="23.3828125" style="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3" customWidth="1"/>
    <col min="35" max="35" width="25.15234375" style="3" customWidth="1"/>
    <col min="36" max="36" width="21" style="3" customWidth="1"/>
    <col min="37" max="16384" width="11.3828125" style="1"/>
  </cols>
  <sheetData>
    <row r="1" spans="1:68" ht="16.5" customHeight="1" x14ac:dyDescent="0.35">
      <c r="A1" s="375" t="s">
        <v>248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7"/>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378"/>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80"/>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26"/>
      <c r="AI3" s="26"/>
      <c r="AJ3" s="26"/>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198" t="s">
        <v>43</v>
      </c>
      <c r="B4" s="199"/>
      <c r="C4" s="200" t="s">
        <v>213</v>
      </c>
      <c r="D4" s="201"/>
      <c r="E4" s="201"/>
      <c r="F4" s="201"/>
      <c r="G4" s="201"/>
      <c r="H4" s="201"/>
      <c r="I4" s="201"/>
      <c r="J4" s="201"/>
      <c r="K4" s="201"/>
      <c r="L4" s="201"/>
      <c r="M4" s="201"/>
      <c r="N4" s="202"/>
      <c r="O4" s="194"/>
      <c r="P4" s="194"/>
      <c r="Q4" s="194"/>
      <c r="R4" s="8"/>
      <c r="S4" s="8"/>
      <c r="T4" s="8"/>
      <c r="U4" s="8"/>
      <c r="V4" s="8"/>
      <c r="W4" s="8"/>
      <c r="X4" s="8"/>
      <c r="Y4" s="8"/>
      <c r="Z4" s="8"/>
      <c r="AA4" s="8"/>
      <c r="AB4" s="8"/>
      <c r="AC4" s="8"/>
      <c r="AD4" s="8"/>
      <c r="AE4" s="8"/>
      <c r="AF4" s="8"/>
      <c r="AG4" s="8"/>
      <c r="AH4" s="26"/>
      <c r="AI4" s="26"/>
      <c r="AJ4" s="26"/>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4">
      <c r="A5" s="198" t="s">
        <v>130</v>
      </c>
      <c r="B5" s="199"/>
      <c r="C5" s="203" t="s">
        <v>214</v>
      </c>
      <c r="D5" s="204"/>
      <c r="E5" s="204"/>
      <c r="F5" s="204"/>
      <c r="G5" s="204"/>
      <c r="H5" s="204"/>
      <c r="I5" s="204"/>
      <c r="J5" s="204"/>
      <c r="K5" s="204"/>
      <c r="L5" s="204"/>
      <c r="M5" s="204"/>
      <c r="N5" s="204"/>
      <c r="O5" s="204"/>
      <c r="P5" s="204"/>
      <c r="Q5" s="205"/>
      <c r="R5" s="8"/>
      <c r="S5" s="8"/>
      <c r="T5" s="8"/>
      <c r="U5" s="8"/>
      <c r="V5" s="8"/>
      <c r="W5" s="8"/>
      <c r="X5" s="8"/>
      <c r="Y5" s="8"/>
      <c r="Z5" s="8"/>
      <c r="AA5" s="8"/>
      <c r="AB5" s="8"/>
      <c r="AC5" s="8"/>
      <c r="AD5" s="8"/>
      <c r="AE5" s="8"/>
      <c r="AF5" s="8"/>
      <c r="AG5" s="8"/>
      <c r="AH5" s="26"/>
      <c r="AI5" s="26"/>
      <c r="AJ5" s="26"/>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198" t="s">
        <v>44</v>
      </c>
      <c r="B6" s="199"/>
      <c r="C6" s="206" t="s">
        <v>215</v>
      </c>
      <c r="D6" s="207"/>
      <c r="E6" s="207"/>
      <c r="F6" s="207"/>
      <c r="G6" s="207"/>
      <c r="H6" s="207"/>
      <c r="I6" s="207"/>
      <c r="J6" s="207"/>
      <c r="K6" s="207"/>
      <c r="L6" s="207"/>
      <c r="M6" s="207"/>
      <c r="N6" s="208"/>
      <c r="O6" s="8"/>
      <c r="P6" s="8"/>
      <c r="Q6" s="8"/>
      <c r="R6" s="8"/>
      <c r="S6" s="8"/>
      <c r="T6" s="8"/>
      <c r="U6" s="8"/>
      <c r="V6" s="8"/>
      <c r="W6" s="8"/>
      <c r="X6" s="8"/>
      <c r="Y6" s="8"/>
      <c r="Z6" s="8"/>
      <c r="AA6" s="8"/>
      <c r="AB6" s="8"/>
      <c r="AC6" s="8"/>
      <c r="AD6" s="8"/>
      <c r="AE6" s="8"/>
      <c r="AF6" s="8"/>
      <c r="AG6" s="8"/>
      <c r="AH6" s="26"/>
      <c r="AI6" s="26"/>
      <c r="AJ6" s="26"/>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195" t="s">
        <v>139</v>
      </c>
      <c r="B7" s="196"/>
      <c r="C7" s="196"/>
      <c r="D7" s="196"/>
      <c r="E7" s="196"/>
      <c r="F7" s="196"/>
      <c r="G7" s="197"/>
      <c r="H7" s="195" t="s">
        <v>140</v>
      </c>
      <c r="I7" s="196"/>
      <c r="J7" s="196"/>
      <c r="K7" s="196"/>
      <c r="L7" s="196"/>
      <c r="M7" s="196"/>
      <c r="N7" s="197"/>
      <c r="O7" s="195" t="s">
        <v>141</v>
      </c>
      <c r="P7" s="196"/>
      <c r="Q7" s="196"/>
      <c r="R7" s="196"/>
      <c r="S7" s="196"/>
      <c r="T7" s="196"/>
      <c r="U7" s="196"/>
      <c r="V7" s="196"/>
      <c r="W7" s="197"/>
      <c r="X7" s="195" t="s">
        <v>142</v>
      </c>
      <c r="Y7" s="196"/>
      <c r="Z7" s="196"/>
      <c r="AA7" s="196"/>
      <c r="AB7" s="196"/>
      <c r="AC7" s="196"/>
      <c r="AD7" s="197"/>
      <c r="AE7" s="195" t="s">
        <v>34</v>
      </c>
      <c r="AF7" s="196"/>
      <c r="AG7" s="196"/>
      <c r="AH7" s="196"/>
      <c r="AI7" s="196"/>
      <c r="AJ7" s="19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16" t="s">
        <v>0</v>
      </c>
      <c r="B8" s="219" t="s">
        <v>2</v>
      </c>
      <c r="C8" s="213" t="s">
        <v>3</v>
      </c>
      <c r="D8" s="213" t="s">
        <v>42</v>
      </c>
      <c r="E8" s="218" t="s">
        <v>1</v>
      </c>
      <c r="F8" s="214" t="s">
        <v>50</v>
      </c>
      <c r="G8" s="213" t="s">
        <v>135</v>
      </c>
      <c r="H8" s="215" t="s">
        <v>33</v>
      </c>
      <c r="I8" s="220" t="s">
        <v>5</v>
      </c>
      <c r="J8" s="214" t="s">
        <v>87</v>
      </c>
      <c r="K8" s="214" t="s">
        <v>92</v>
      </c>
      <c r="L8" s="222" t="s">
        <v>45</v>
      </c>
      <c r="M8" s="220" t="s">
        <v>5</v>
      </c>
      <c r="N8" s="213" t="s">
        <v>48</v>
      </c>
      <c r="O8" s="209" t="s">
        <v>11</v>
      </c>
      <c r="P8" s="212" t="s">
        <v>162</v>
      </c>
      <c r="Q8" s="214" t="s">
        <v>12</v>
      </c>
      <c r="R8" s="212" t="s">
        <v>8</v>
      </c>
      <c r="S8" s="212"/>
      <c r="T8" s="212"/>
      <c r="U8" s="212"/>
      <c r="V8" s="212"/>
      <c r="W8" s="212"/>
      <c r="X8" s="211" t="s">
        <v>138</v>
      </c>
      <c r="Y8" s="211" t="s">
        <v>46</v>
      </c>
      <c r="Z8" s="211" t="s">
        <v>5</v>
      </c>
      <c r="AA8" s="211" t="s">
        <v>47</v>
      </c>
      <c r="AB8" s="211" t="s">
        <v>5</v>
      </c>
      <c r="AC8" s="211" t="s">
        <v>49</v>
      </c>
      <c r="AD8" s="209" t="s">
        <v>29</v>
      </c>
      <c r="AE8" s="212" t="s">
        <v>34</v>
      </c>
      <c r="AF8" s="212" t="s">
        <v>35</v>
      </c>
      <c r="AG8" s="212" t="s">
        <v>36</v>
      </c>
      <c r="AH8" s="212" t="s">
        <v>38</v>
      </c>
      <c r="AI8" s="212" t="s">
        <v>37</v>
      </c>
      <c r="AJ8" s="212"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17"/>
      <c r="B9" s="219"/>
      <c r="C9" s="212"/>
      <c r="D9" s="212"/>
      <c r="E9" s="219"/>
      <c r="F9" s="213"/>
      <c r="G9" s="212"/>
      <c r="H9" s="213"/>
      <c r="I9" s="221"/>
      <c r="J9" s="213"/>
      <c r="K9" s="213"/>
      <c r="L9" s="221"/>
      <c r="M9" s="221"/>
      <c r="N9" s="212"/>
      <c r="O9" s="210"/>
      <c r="P9" s="212"/>
      <c r="Q9" s="213"/>
      <c r="R9" s="7" t="s">
        <v>13</v>
      </c>
      <c r="S9" s="7" t="s">
        <v>17</v>
      </c>
      <c r="T9" s="7" t="s">
        <v>28</v>
      </c>
      <c r="U9" s="7" t="s">
        <v>18</v>
      </c>
      <c r="V9" s="7" t="s">
        <v>21</v>
      </c>
      <c r="W9" s="7" t="s">
        <v>24</v>
      </c>
      <c r="X9" s="211"/>
      <c r="Y9" s="211"/>
      <c r="Z9" s="211"/>
      <c r="AA9" s="211"/>
      <c r="AB9" s="211"/>
      <c r="AC9" s="211"/>
      <c r="AD9" s="210"/>
      <c r="AE9" s="212"/>
      <c r="AF9" s="212"/>
      <c r="AG9" s="212"/>
      <c r="AH9" s="212"/>
      <c r="AI9" s="212"/>
      <c r="AJ9" s="212"/>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77.9" customHeight="1" x14ac:dyDescent="0.4">
      <c r="A10" s="138">
        <v>1</v>
      </c>
      <c r="B10" s="135" t="s">
        <v>132</v>
      </c>
      <c r="C10" s="135"/>
      <c r="D10" s="135" t="s">
        <v>217</v>
      </c>
      <c r="E10" s="139" t="s">
        <v>216</v>
      </c>
      <c r="F10" s="135" t="s">
        <v>123</v>
      </c>
      <c r="G10" s="136" t="s">
        <v>218</v>
      </c>
      <c r="H10" s="137" t="s">
        <v>219</v>
      </c>
      <c r="I10" s="141">
        <f t="shared" ref="I10:I16" si="0">IF(H10="","",IF(H10="Muy Baja",0.2,IF(H10="Baja",0.4,IF(H10="Media",0.6,IF(H10="Alta",0.8,IF(H10="Muy Alta",1,))))))</f>
        <v>0.6</v>
      </c>
      <c r="J10" s="142"/>
      <c r="K10" s="141">
        <f ca="1">IF(NOT(ISERROR(MATCH(J10,'Tabla Impacto'!$B$221:$B$223,0))),'Tabla Impacto'!$F$223&amp;"Por favor no seleccionar los criterios de impacto(Afectación Económica o presupuestal y Pérdida Reputacional)",J10)</f>
        <v>0</v>
      </c>
      <c r="L10" s="137" t="s">
        <v>221</v>
      </c>
      <c r="M10" s="141">
        <f t="shared" ref="M10:M16" si="1">IF(L10="","",IF(L10="Leve",0.2,IF(L10="Menor",0.4,IF(L10="Moderado",0.6,IF(L10="Mayor",0.8,IF(L10="Catastrófico",1,))))))</f>
        <v>0.8</v>
      </c>
      <c r="N10" s="140" t="str">
        <f t="shared" ref="N10:N16"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3" t="s">
        <v>222</v>
      </c>
      <c r="Q10" s="126" t="str">
        <f t="shared" ref="Q10:Q16" si="3">IF(OR(R10="Preventivo",R10="Detectivo"),"Probabilidad",IF(R10="Correctivo","Impacto",""))</f>
        <v>Impacto</v>
      </c>
      <c r="R10" s="127" t="s">
        <v>16</v>
      </c>
      <c r="S10" s="127" t="s">
        <v>9</v>
      </c>
      <c r="T10" s="128" t="str">
        <f t="shared" ref="T10:T16" si="4">IF(AND(R10="Preventivo",S10="Automático"),"50%",IF(AND(R10="Preventivo",S10="Manual"),"40%",IF(AND(R10="Detectivo",S10="Automático"),"40%",IF(AND(R10="Detectivo",S10="Manual"),"30%",IF(AND(R10="Correctivo",S10="Automático"),"35%",IF(AND(R10="Correctivo",S10="Manual"),"25%",""))))))</f>
        <v>25%</v>
      </c>
      <c r="U10" s="127" t="s">
        <v>20</v>
      </c>
      <c r="V10" s="127" t="s">
        <v>22</v>
      </c>
      <c r="W10" s="127" t="s">
        <v>120</v>
      </c>
      <c r="X10" s="129">
        <f t="shared" ref="X10:X16" si="5">IFERROR(IF(Q10="Probabilidad",(I10-(+I10*T10)),IF(Q10="Impacto",I10,"")),"")</f>
        <v>0.6</v>
      </c>
      <c r="Y10" s="130" t="str">
        <f t="shared" ref="Y10:Y16" si="6">IFERROR(IF(X10="","",IF(X10&lt;=0.2,"Muy Baja",IF(X10&lt;=0.4,"Baja",IF(X10&lt;=0.6,"Media",IF(X10&lt;=0.8,"Alta","Muy Alta"))))),"")</f>
        <v>Media</v>
      </c>
      <c r="Z10" s="131">
        <f t="shared" ref="Z10:Z16" si="7">+X10</f>
        <v>0.6</v>
      </c>
      <c r="AA10" s="130" t="str">
        <f t="shared" ref="AA10:AA16" si="8">IFERROR(IF(AB10="","",IF(AB10&lt;=0.2,"Leve",IF(AB10&lt;=0.4,"Menor",IF(AB10&lt;=0.6,"Moderado",IF(AB10&lt;=0.8,"Mayor","Catastrófico"))))),"")</f>
        <v>Moderado</v>
      </c>
      <c r="AB10" s="131">
        <f t="shared" ref="AB10:AB16" si="9">IFERROR(IF(Q10="Impacto",(M10-(+M10*T10)),IF(Q10="Probabilidad",M10,"")),"")</f>
        <v>0.60000000000000009</v>
      </c>
      <c r="AC10" s="132" t="str">
        <f t="shared" ref="AC10:AC16" si="10">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3" t="s">
        <v>136</v>
      </c>
      <c r="AE10" s="143" t="s">
        <v>235</v>
      </c>
      <c r="AF10" s="144" t="s">
        <v>223</v>
      </c>
      <c r="AG10" s="144" t="s">
        <v>224</v>
      </c>
      <c r="AH10" s="149" t="s">
        <v>244</v>
      </c>
      <c r="AI10" s="150" t="s">
        <v>245</v>
      </c>
      <c r="AJ10" s="151"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5.25" customHeight="1" x14ac:dyDescent="0.35">
      <c r="A11" s="138">
        <v>2</v>
      </c>
      <c r="B11" s="135" t="s">
        <v>132</v>
      </c>
      <c r="C11" s="135"/>
      <c r="D11" s="135" t="s">
        <v>226</v>
      </c>
      <c r="E11" s="139" t="s">
        <v>225</v>
      </c>
      <c r="F11" s="135" t="s">
        <v>123</v>
      </c>
      <c r="G11" s="136" t="s">
        <v>227</v>
      </c>
      <c r="H11" s="137" t="s">
        <v>219</v>
      </c>
      <c r="I11" s="141">
        <f t="shared" si="0"/>
        <v>0.6</v>
      </c>
      <c r="J11" s="142"/>
      <c r="K11" s="141">
        <f ca="1">IF(NOT(ISERROR(MATCH(J11,'Tabla Impacto'!$B$221:$B$223,0))),'Tabla Impacto'!$F$223&amp;"Por favor no seleccionar los criterios de impacto(Afectación Económica o presupuestal y Pérdida Reputacional)",J11)</f>
        <v>0</v>
      </c>
      <c r="L11" s="137" t="s">
        <v>228</v>
      </c>
      <c r="M11" s="141">
        <f t="shared" si="1"/>
        <v>0.6</v>
      </c>
      <c r="N11" s="140" t="str">
        <f t="shared" si="2"/>
        <v>Moderado</v>
      </c>
      <c r="O11" s="125">
        <v>1</v>
      </c>
      <c r="P11" s="143" t="s">
        <v>222</v>
      </c>
      <c r="Q11" s="126" t="str">
        <f t="shared" si="3"/>
        <v>Impacto</v>
      </c>
      <c r="R11" s="127" t="s">
        <v>16</v>
      </c>
      <c r="S11" s="127" t="s">
        <v>9</v>
      </c>
      <c r="T11" s="128" t="str">
        <f t="shared" si="4"/>
        <v>25%</v>
      </c>
      <c r="U11" s="127" t="s">
        <v>20</v>
      </c>
      <c r="V11" s="127" t="s">
        <v>22</v>
      </c>
      <c r="W11" s="127" t="s">
        <v>120</v>
      </c>
      <c r="X11" s="129">
        <f t="shared" si="5"/>
        <v>0.6</v>
      </c>
      <c r="Y11" s="130" t="str">
        <f t="shared" si="6"/>
        <v>Media</v>
      </c>
      <c r="Z11" s="131">
        <f t="shared" si="7"/>
        <v>0.6</v>
      </c>
      <c r="AA11" s="130" t="str">
        <f t="shared" si="8"/>
        <v>Moderado</v>
      </c>
      <c r="AB11" s="134">
        <f t="shared" si="9"/>
        <v>0.44999999999999996</v>
      </c>
      <c r="AC11" s="132" t="str">
        <f t="shared" si="10"/>
        <v>Moderado</v>
      </c>
      <c r="AD11" s="133" t="s">
        <v>136</v>
      </c>
      <c r="AE11" s="143" t="s">
        <v>235</v>
      </c>
      <c r="AF11" s="144" t="s">
        <v>223</v>
      </c>
      <c r="AG11" s="144" t="s">
        <v>224</v>
      </c>
      <c r="AH11" s="149" t="s">
        <v>244</v>
      </c>
      <c r="AI11" s="150" t="s">
        <v>245</v>
      </c>
      <c r="AJ11" s="151"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5">
      <c r="A12" s="138">
        <v>3</v>
      </c>
      <c r="B12" s="135" t="s">
        <v>132</v>
      </c>
      <c r="C12" s="135"/>
      <c r="D12" s="135" t="s">
        <v>230</v>
      </c>
      <c r="E12" s="139" t="s">
        <v>229</v>
      </c>
      <c r="F12" s="135" t="s">
        <v>123</v>
      </c>
      <c r="G12" s="136" t="s">
        <v>227</v>
      </c>
      <c r="H12" s="137" t="s">
        <v>220</v>
      </c>
      <c r="I12" s="141">
        <f t="shared" si="0"/>
        <v>0.8</v>
      </c>
      <c r="J12" s="142"/>
      <c r="K12" s="141">
        <f ca="1">IF(NOT(ISERROR(MATCH(J12,'Tabla Impacto'!$B$221:$B$223,0))),'Tabla Impacto'!$F$223&amp;"Por favor no seleccionar los criterios de impacto(Afectación Económica o presupuestal y Pérdida Reputacional)",J12)</f>
        <v>0</v>
      </c>
      <c r="L12" s="137" t="s">
        <v>228</v>
      </c>
      <c r="M12" s="141">
        <f t="shared" si="1"/>
        <v>0.6</v>
      </c>
      <c r="N12" s="140" t="str">
        <f t="shared" si="2"/>
        <v>Alto</v>
      </c>
      <c r="O12" s="125">
        <v>1</v>
      </c>
      <c r="P12" s="143" t="s">
        <v>222</v>
      </c>
      <c r="Q12" s="126" t="str">
        <f t="shared" si="3"/>
        <v>Probabilidad</v>
      </c>
      <c r="R12" s="127" t="s">
        <v>15</v>
      </c>
      <c r="S12" s="127" t="s">
        <v>9</v>
      </c>
      <c r="T12" s="128" t="str">
        <f t="shared" si="4"/>
        <v>30%</v>
      </c>
      <c r="U12" s="127" t="s">
        <v>20</v>
      </c>
      <c r="V12" s="127" t="s">
        <v>22</v>
      </c>
      <c r="W12" s="127" t="s">
        <v>120</v>
      </c>
      <c r="X12" s="129">
        <f t="shared" si="5"/>
        <v>0.56000000000000005</v>
      </c>
      <c r="Y12" s="130" t="str">
        <f t="shared" si="6"/>
        <v>Media</v>
      </c>
      <c r="Z12" s="131">
        <f t="shared" si="7"/>
        <v>0.56000000000000005</v>
      </c>
      <c r="AA12" s="130" t="str">
        <f t="shared" si="8"/>
        <v>Moderado</v>
      </c>
      <c r="AB12" s="134">
        <f t="shared" si="9"/>
        <v>0.6</v>
      </c>
      <c r="AC12" s="132" t="str">
        <f t="shared" si="10"/>
        <v>Moderado</v>
      </c>
      <c r="AD12" s="133" t="s">
        <v>136</v>
      </c>
      <c r="AE12" s="143" t="s">
        <v>235</v>
      </c>
      <c r="AF12" s="144" t="s">
        <v>223</v>
      </c>
      <c r="AG12" s="144" t="s">
        <v>224</v>
      </c>
      <c r="AH12" s="149" t="s">
        <v>244</v>
      </c>
      <c r="AI12" s="150" t="s">
        <v>245</v>
      </c>
      <c r="AJ12" s="151"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0.75" customHeight="1" x14ac:dyDescent="0.35">
      <c r="A13" s="138">
        <v>4</v>
      </c>
      <c r="B13" s="135" t="s">
        <v>132</v>
      </c>
      <c r="C13" s="135"/>
      <c r="D13" s="135" t="s">
        <v>232</v>
      </c>
      <c r="E13" s="139" t="s">
        <v>231</v>
      </c>
      <c r="F13" s="135" t="s">
        <v>123</v>
      </c>
      <c r="G13" s="136" t="s">
        <v>227</v>
      </c>
      <c r="H13" s="137" t="s">
        <v>220</v>
      </c>
      <c r="I13" s="141">
        <f t="shared" si="0"/>
        <v>0.8</v>
      </c>
      <c r="J13" s="142"/>
      <c r="K13" s="141">
        <f ca="1">IF(NOT(ISERROR(MATCH(J13,'Tabla Impacto'!$B$221:$B$223,0))),'Tabla Impacto'!$F$223&amp;"Por favor no seleccionar los criterios de impacto(Afectación Económica o presupuestal y Pérdida Reputacional)",J13)</f>
        <v>0</v>
      </c>
      <c r="L13" s="137" t="s">
        <v>221</v>
      </c>
      <c r="M13" s="141">
        <f t="shared" si="1"/>
        <v>0.8</v>
      </c>
      <c r="N13" s="140" t="str">
        <f t="shared" si="2"/>
        <v>Alto</v>
      </c>
      <c r="O13" s="125">
        <v>1</v>
      </c>
      <c r="P13" s="143" t="s">
        <v>222</v>
      </c>
      <c r="Q13" s="126" t="str">
        <f t="shared" si="3"/>
        <v>Impacto</v>
      </c>
      <c r="R13" s="127" t="s">
        <v>16</v>
      </c>
      <c r="S13" s="127" t="s">
        <v>9</v>
      </c>
      <c r="T13" s="128" t="str">
        <f t="shared" si="4"/>
        <v>25%</v>
      </c>
      <c r="U13" s="127" t="s">
        <v>20</v>
      </c>
      <c r="V13" s="127" t="s">
        <v>22</v>
      </c>
      <c r="W13" s="127" t="s">
        <v>120</v>
      </c>
      <c r="X13" s="129">
        <f t="shared" si="5"/>
        <v>0.8</v>
      </c>
      <c r="Y13" s="130" t="str">
        <f t="shared" si="6"/>
        <v>Alta</v>
      </c>
      <c r="Z13" s="131">
        <f t="shared" si="7"/>
        <v>0.8</v>
      </c>
      <c r="AA13" s="130" t="str">
        <f t="shared" si="8"/>
        <v>Moderado</v>
      </c>
      <c r="AB13" s="134">
        <f t="shared" si="9"/>
        <v>0.60000000000000009</v>
      </c>
      <c r="AC13" s="132" t="str">
        <f t="shared" si="10"/>
        <v>Alto</v>
      </c>
      <c r="AD13" s="133" t="s">
        <v>136</v>
      </c>
      <c r="AE13" s="145" t="s">
        <v>236</v>
      </c>
      <c r="AF13" s="144" t="s">
        <v>223</v>
      </c>
      <c r="AG13" s="144" t="s">
        <v>224</v>
      </c>
      <c r="AH13" s="149" t="s">
        <v>244</v>
      </c>
      <c r="AI13" s="150" t="s">
        <v>246</v>
      </c>
      <c r="AJ13" s="151" t="s">
        <v>41</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0.75" customHeight="1" x14ac:dyDescent="0.35">
      <c r="A14" s="138">
        <v>5</v>
      </c>
      <c r="B14" s="135" t="s">
        <v>132</v>
      </c>
      <c r="C14" s="135"/>
      <c r="D14" s="135" t="s">
        <v>234</v>
      </c>
      <c r="E14" s="139" t="s">
        <v>233</v>
      </c>
      <c r="F14" s="135" t="s">
        <v>123</v>
      </c>
      <c r="G14" s="136" t="s">
        <v>227</v>
      </c>
      <c r="H14" s="137" t="s">
        <v>220</v>
      </c>
      <c r="I14" s="141">
        <f t="shared" si="0"/>
        <v>0.8</v>
      </c>
      <c r="J14" s="142"/>
      <c r="K14" s="141">
        <f ca="1">IF(NOT(ISERROR(MATCH(J14,'Tabla Impacto'!$B$221:$B$223,0))),'Tabla Impacto'!$F$223&amp;"Por favor no seleccionar los criterios de impacto(Afectación Económica o presupuestal y Pérdida Reputacional)",J14)</f>
        <v>0</v>
      </c>
      <c r="L14" s="137" t="s">
        <v>221</v>
      </c>
      <c r="M14" s="141">
        <f t="shared" si="1"/>
        <v>0.8</v>
      </c>
      <c r="N14" s="140" t="str">
        <f t="shared" si="2"/>
        <v>Alto</v>
      </c>
      <c r="O14" s="125">
        <v>1</v>
      </c>
      <c r="P14" s="143" t="s">
        <v>222</v>
      </c>
      <c r="Q14" s="126" t="str">
        <f t="shared" si="3"/>
        <v>Impacto</v>
      </c>
      <c r="R14" s="127" t="s">
        <v>16</v>
      </c>
      <c r="S14" s="127" t="s">
        <v>9</v>
      </c>
      <c r="T14" s="128" t="str">
        <f t="shared" si="4"/>
        <v>25%</v>
      </c>
      <c r="U14" s="127" t="s">
        <v>20</v>
      </c>
      <c r="V14" s="127" t="s">
        <v>22</v>
      </c>
      <c r="W14" s="127" t="s">
        <v>120</v>
      </c>
      <c r="X14" s="129">
        <f t="shared" si="5"/>
        <v>0.8</v>
      </c>
      <c r="Y14" s="130" t="str">
        <f t="shared" si="6"/>
        <v>Alta</v>
      </c>
      <c r="Z14" s="131">
        <f t="shared" si="7"/>
        <v>0.8</v>
      </c>
      <c r="AA14" s="130" t="str">
        <f t="shared" si="8"/>
        <v>Moderado</v>
      </c>
      <c r="AB14" s="134">
        <f t="shared" si="9"/>
        <v>0.60000000000000009</v>
      </c>
      <c r="AC14" s="132" t="str">
        <f t="shared" si="10"/>
        <v>Alto</v>
      </c>
      <c r="AD14" s="133" t="s">
        <v>136</v>
      </c>
      <c r="AE14" s="143" t="s">
        <v>235</v>
      </c>
      <c r="AF14" s="144" t="s">
        <v>223</v>
      </c>
      <c r="AG14" s="144" t="s">
        <v>224</v>
      </c>
      <c r="AH14" s="149" t="s">
        <v>244</v>
      </c>
      <c r="AI14" s="150" t="s">
        <v>245</v>
      </c>
      <c r="AJ14" s="151" t="s">
        <v>41</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3" customHeight="1" x14ac:dyDescent="0.35">
      <c r="A15" s="138">
        <v>6</v>
      </c>
      <c r="B15" s="135" t="s">
        <v>132</v>
      </c>
      <c r="C15" s="135"/>
      <c r="D15" s="135" t="s">
        <v>238</v>
      </c>
      <c r="E15" s="147" t="s">
        <v>237</v>
      </c>
      <c r="F15" s="135" t="s">
        <v>123</v>
      </c>
      <c r="G15" s="136" t="s">
        <v>218</v>
      </c>
      <c r="H15" s="137" t="s">
        <v>239</v>
      </c>
      <c r="I15" s="141">
        <f t="shared" si="0"/>
        <v>0.4</v>
      </c>
      <c r="J15" s="142"/>
      <c r="K15" s="141">
        <f ca="1">IF(NOT(ISERROR(MATCH(J15,'Tabla Impacto'!$B$221:$B$223,0))),'Tabla Impacto'!$F$223&amp;"Por favor no seleccionar los criterios de impacto(Afectación Económica o presupuestal y Pérdida Reputacional)",J15)</f>
        <v>0</v>
      </c>
      <c r="L15" s="137" t="s">
        <v>240</v>
      </c>
      <c r="M15" s="141">
        <f t="shared" si="1"/>
        <v>0.4</v>
      </c>
      <c r="N15" s="140" t="str">
        <f t="shared" si="2"/>
        <v>Moderado</v>
      </c>
      <c r="O15" s="125">
        <v>1</v>
      </c>
      <c r="P15" s="143" t="s">
        <v>222</v>
      </c>
      <c r="Q15" s="126" t="str">
        <f t="shared" si="3"/>
        <v>Probabilidad</v>
      </c>
      <c r="R15" s="127" t="s">
        <v>15</v>
      </c>
      <c r="S15" s="127" t="s">
        <v>9</v>
      </c>
      <c r="T15" s="128" t="str">
        <f t="shared" si="4"/>
        <v>30%</v>
      </c>
      <c r="U15" s="127" t="s">
        <v>20</v>
      </c>
      <c r="V15" s="127" t="s">
        <v>22</v>
      </c>
      <c r="W15" s="127" t="s">
        <v>120</v>
      </c>
      <c r="X15" s="129">
        <f t="shared" si="5"/>
        <v>0.28000000000000003</v>
      </c>
      <c r="Y15" s="130" t="str">
        <f t="shared" si="6"/>
        <v>Baja</v>
      </c>
      <c r="Z15" s="131">
        <f t="shared" si="7"/>
        <v>0.28000000000000003</v>
      </c>
      <c r="AA15" s="130" t="str">
        <f t="shared" si="8"/>
        <v>Menor</v>
      </c>
      <c r="AB15" s="134">
        <f t="shared" si="9"/>
        <v>0.4</v>
      </c>
      <c r="AC15" s="132" t="str">
        <f t="shared" si="10"/>
        <v>Moderado</v>
      </c>
      <c r="AD15" s="133" t="s">
        <v>136</v>
      </c>
      <c r="AE15" s="143" t="s">
        <v>241</v>
      </c>
      <c r="AF15" s="144" t="s">
        <v>223</v>
      </c>
      <c r="AG15" s="144" t="s">
        <v>224</v>
      </c>
      <c r="AH15" s="149" t="s">
        <v>244</v>
      </c>
      <c r="AI15" s="150" t="s">
        <v>247</v>
      </c>
      <c r="AJ15" s="151" t="s">
        <v>40</v>
      </c>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01" customHeight="1" x14ac:dyDescent="0.35">
      <c r="A16" s="138">
        <v>7</v>
      </c>
      <c r="B16" s="135" t="s">
        <v>132</v>
      </c>
      <c r="C16" s="135"/>
      <c r="D16" s="146" t="s">
        <v>243</v>
      </c>
      <c r="E16" s="148" t="s">
        <v>242</v>
      </c>
      <c r="F16" s="135" t="s">
        <v>123</v>
      </c>
      <c r="G16" s="136" t="s">
        <v>218</v>
      </c>
      <c r="H16" s="137" t="s">
        <v>219</v>
      </c>
      <c r="I16" s="141">
        <f t="shared" si="0"/>
        <v>0.6</v>
      </c>
      <c r="J16" s="142"/>
      <c r="K16" s="141">
        <f ca="1">IF(NOT(ISERROR(MATCH(J16,'Tabla Impacto'!$B$221:$B$223,0))),'Tabla Impacto'!$F$223&amp;"Por favor no seleccionar los criterios de impacto(Afectación Económica o presupuestal y Pérdida Reputacional)",J16)</f>
        <v>0</v>
      </c>
      <c r="L16" s="137" t="s">
        <v>228</v>
      </c>
      <c r="M16" s="141">
        <f t="shared" si="1"/>
        <v>0.6</v>
      </c>
      <c r="N16" s="140" t="str">
        <f t="shared" si="2"/>
        <v>Moderado</v>
      </c>
      <c r="O16" s="125">
        <v>1</v>
      </c>
      <c r="P16" s="143" t="s">
        <v>222</v>
      </c>
      <c r="Q16" s="126" t="str">
        <f t="shared" si="3"/>
        <v>Impacto</v>
      </c>
      <c r="R16" s="127" t="s">
        <v>16</v>
      </c>
      <c r="S16" s="127" t="s">
        <v>9</v>
      </c>
      <c r="T16" s="128" t="str">
        <f t="shared" si="4"/>
        <v>25%</v>
      </c>
      <c r="U16" s="127" t="s">
        <v>20</v>
      </c>
      <c r="V16" s="127" t="s">
        <v>22</v>
      </c>
      <c r="W16" s="127" t="s">
        <v>120</v>
      </c>
      <c r="X16" s="129">
        <f t="shared" si="5"/>
        <v>0.6</v>
      </c>
      <c r="Y16" s="130" t="str">
        <f t="shared" si="6"/>
        <v>Media</v>
      </c>
      <c r="Z16" s="131">
        <f t="shared" si="7"/>
        <v>0.6</v>
      </c>
      <c r="AA16" s="130" t="str">
        <f t="shared" si="8"/>
        <v>Moderado</v>
      </c>
      <c r="AB16" s="134">
        <f t="shared" si="9"/>
        <v>0.44999999999999996</v>
      </c>
      <c r="AC16" s="132" t="str">
        <f t="shared" si="10"/>
        <v>Moderado</v>
      </c>
      <c r="AD16" s="133" t="s">
        <v>136</v>
      </c>
      <c r="AE16" s="143" t="s">
        <v>235</v>
      </c>
      <c r="AF16" s="144" t="s">
        <v>223</v>
      </c>
      <c r="AG16" s="144" t="s">
        <v>224</v>
      </c>
      <c r="AH16" s="149" t="s">
        <v>244</v>
      </c>
      <c r="AI16" s="150" t="s">
        <v>245</v>
      </c>
      <c r="AJ16" s="151"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36" ht="49.5" customHeight="1" x14ac:dyDescent="0.35">
      <c r="A17" s="6"/>
      <c r="B17" s="191" t="s">
        <v>131</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3"/>
    </row>
    <row r="19" spans="1:36" x14ac:dyDescent="0.35">
      <c r="A19" s="1"/>
      <c r="B19" s="24" t="s">
        <v>143</v>
      </c>
      <c r="C19" s="1"/>
      <c r="D19" s="1"/>
      <c r="F19" s="1"/>
    </row>
  </sheetData>
  <dataConsolidate/>
  <mergeCells count="45">
    <mergeCell ref="I8:I9"/>
    <mergeCell ref="L8:L9"/>
    <mergeCell ref="M8:M9"/>
    <mergeCell ref="R8:W8"/>
    <mergeCell ref="AE8:AE9"/>
    <mergeCell ref="AD8:AD9"/>
    <mergeCell ref="AJ8:AJ9"/>
    <mergeCell ref="AI8:AI9"/>
    <mergeCell ref="AH8:AH9"/>
    <mergeCell ref="AG8:AG9"/>
    <mergeCell ref="AF8:AF9"/>
    <mergeCell ref="G8:G9"/>
    <mergeCell ref="H8:H9"/>
    <mergeCell ref="A8:A9"/>
    <mergeCell ref="F8:F9"/>
    <mergeCell ref="E8:E9"/>
    <mergeCell ref="D8:D9"/>
    <mergeCell ref="C8:C9"/>
    <mergeCell ref="B8:B9"/>
    <mergeCell ref="N8:N9"/>
    <mergeCell ref="J8:J9"/>
    <mergeCell ref="K8:K9"/>
    <mergeCell ref="Q8:Q9"/>
    <mergeCell ref="AA8:AA9"/>
    <mergeCell ref="Y8:Y9"/>
    <mergeCell ref="Z8:Z9"/>
    <mergeCell ref="O8:O9"/>
    <mergeCell ref="AC8:AC9"/>
    <mergeCell ref="AB8:AB9"/>
    <mergeCell ref="X8:X9"/>
    <mergeCell ref="P8:P9"/>
    <mergeCell ref="O4:Q4"/>
    <mergeCell ref="A1:AJ2"/>
    <mergeCell ref="A7:G7"/>
    <mergeCell ref="H7:N7"/>
    <mergeCell ref="O7:W7"/>
    <mergeCell ref="X7:AD7"/>
    <mergeCell ref="AE7:AJ7"/>
    <mergeCell ref="A4:B4"/>
    <mergeCell ref="A5:B5"/>
    <mergeCell ref="A6:B6"/>
    <mergeCell ref="C4:N4"/>
    <mergeCell ref="C5:Q5"/>
    <mergeCell ref="C6:N6"/>
    <mergeCell ref="B17:AJ17"/>
  </mergeCells>
  <conditionalFormatting sqref="H11">
    <cfRule type="cellIs" dxfId="235" priority="324" operator="equal">
      <formula>"Muy Alta"</formula>
    </cfRule>
    <cfRule type="cellIs" dxfId="234" priority="325" operator="equal">
      <formula>"Alta"</formula>
    </cfRule>
    <cfRule type="cellIs" dxfId="233" priority="326" operator="equal">
      <formula>"Media"</formula>
    </cfRule>
    <cfRule type="cellIs" dxfId="232" priority="327" operator="equal">
      <formula>"Baja"</formula>
    </cfRule>
    <cfRule type="cellIs" dxfId="231" priority="328" operator="equal">
      <formula>"Muy Baja"</formula>
    </cfRule>
  </conditionalFormatting>
  <conditionalFormatting sqref="L10:L16">
    <cfRule type="cellIs" dxfId="230" priority="319" operator="equal">
      <formula>"Catastrófico"</formula>
    </cfRule>
    <cfRule type="cellIs" dxfId="229" priority="320" operator="equal">
      <formula>"Mayor"</formula>
    </cfRule>
    <cfRule type="cellIs" dxfId="228" priority="321" operator="equal">
      <formula>"Moderado"</formula>
    </cfRule>
    <cfRule type="cellIs" dxfId="227" priority="322" operator="equal">
      <formula>"Menor"</formula>
    </cfRule>
    <cfRule type="cellIs" dxfId="226" priority="323" operator="equal">
      <formula>"Leve"</formula>
    </cfRule>
  </conditionalFormatting>
  <conditionalFormatting sqref="N10">
    <cfRule type="cellIs" dxfId="225" priority="315" operator="equal">
      <formula>"Extremo"</formula>
    </cfRule>
    <cfRule type="cellIs" dxfId="224" priority="316" operator="equal">
      <formula>"Alto"</formula>
    </cfRule>
    <cfRule type="cellIs" dxfId="223" priority="317" operator="equal">
      <formula>"Moderado"</formula>
    </cfRule>
    <cfRule type="cellIs" dxfId="222" priority="318" operator="equal">
      <formula>"Bajo"</formula>
    </cfRule>
  </conditionalFormatting>
  <conditionalFormatting sqref="Y10">
    <cfRule type="cellIs" dxfId="221" priority="310" operator="equal">
      <formula>"Muy Alta"</formula>
    </cfRule>
    <cfRule type="cellIs" dxfId="220" priority="311" operator="equal">
      <formula>"Alta"</formula>
    </cfRule>
    <cfRule type="cellIs" dxfId="219" priority="312" operator="equal">
      <formula>"Media"</formula>
    </cfRule>
    <cfRule type="cellIs" dxfId="218" priority="313" operator="equal">
      <formula>"Baja"</formula>
    </cfRule>
    <cfRule type="cellIs" dxfId="217" priority="314" operator="equal">
      <formula>"Muy Baja"</formula>
    </cfRule>
  </conditionalFormatting>
  <conditionalFormatting sqref="AA10">
    <cfRule type="cellIs" dxfId="216" priority="305" operator="equal">
      <formula>"Catastrófico"</formula>
    </cfRule>
    <cfRule type="cellIs" dxfId="215" priority="306" operator="equal">
      <formula>"Mayor"</formula>
    </cfRule>
    <cfRule type="cellIs" dxfId="214" priority="307" operator="equal">
      <formula>"Moderado"</formula>
    </cfRule>
    <cfRule type="cellIs" dxfId="213" priority="308" operator="equal">
      <formula>"Menor"</formula>
    </cfRule>
    <cfRule type="cellIs" dxfId="212" priority="309" operator="equal">
      <formula>"Leve"</formula>
    </cfRule>
  </conditionalFormatting>
  <conditionalFormatting sqref="AC10">
    <cfRule type="cellIs" dxfId="211" priority="301" operator="equal">
      <formula>"Extremo"</formula>
    </cfRule>
    <cfRule type="cellIs" dxfId="210" priority="302" operator="equal">
      <formula>"Alto"</formula>
    </cfRule>
    <cfRule type="cellIs" dxfId="209" priority="303" operator="equal">
      <formula>"Moderado"</formula>
    </cfRule>
    <cfRule type="cellIs" dxfId="208" priority="304" operator="equal">
      <formula>"Bajo"</formula>
    </cfRule>
  </conditionalFormatting>
  <conditionalFormatting sqref="N11">
    <cfRule type="cellIs" dxfId="202" priority="245" operator="equal">
      <formula>"Extremo"</formula>
    </cfRule>
    <cfRule type="cellIs" dxfId="201" priority="246" operator="equal">
      <formula>"Alto"</formula>
    </cfRule>
    <cfRule type="cellIs" dxfId="200" priority="247" operator="equal">
      <formula>"Moderado"</formula>
    </cfRule>
    <cfRule type="cellIs" dxfId="199" priority="248" operator="equal">
      <formula>"Bajo"</formula>
    </cfRule>
  </conditionalFormatting>
  <conditionalFormatting sqref="Y11">
    <cfRule type="cellIs" dxfId="198" priority="240" operator="equal">
      <formula>"Muy Alta"</formula>
    </cfRule>
    <cfRule type="cellIs" dxfId="197" priority="241" operator="equal">
      <formula>"Alta"</formula>
    </cfRule>
    <cfRule type="cellIs" dxfId="196" priority="242" operator="equal">
      <formula>"Media"</formula>
    </cfRule>
    <cfRule type="cellIs" dxfId="195" priority="243" operator="equal">
      <formula>"Baja"</formula>
    </cfRule>
    <cfRule type="cellIs" dxfId="194" priority="244" operator="equal">
      <formula>"Muy Baja"</formula>
    </cfRule>
  </conditionalFormatting>
  <conditionalFormatting sqref="AA11">
    <cfRule type="cellIs" dxfId="193" priority="235" operator="equal">
      <formula>"Catastrófico"</formula>
    </cfRule>
    <cfRule type="cellIs" dxfId="192" priority="236" operator="equal">
      <formula>"Mayor"</formula>
    </cfRule>
    <cfRule type="cellIs" dxfId="191" priority="237" operator="equal">
      <formula>"Moderado"</formula>
    </cfRule>
    <cfRule type="cellIs" dxfId="190" priority="238" operator="equal">
      <formula>"Menor"</formula>
    </cfRule>
    <cfRule type="cellIs" dxfId="189" priority="239" operator="equal">
      <formula>"Leve"</formula>
    </cfRule>
  </conditionalFormatting>
  <conditionalFormatting sqref="AC11">
    <cfRule type="cellIs" dxfId="188" priority="231" operator="equal">
      <formula>"Extremo"</formula>
    </cfRule>
    <cfRule type="cellIs" dxfId="187" priority="232" operator="equal">
      <formula>"Alto"</formula>
    </cfRule>
    <cfRule type="cellIs" dxfId="186" priority="233" operator="equal">
      <formula>"Moderado"</formula>
    </cfRule>
    <cfRule type="cellIs" dxfId="185" priority="234" operator="equal">
      <formula>"Bajo"</formula>
    </cfRule>
  </conditionalFormatting>
  <conditionalFormatting sqref="H12">
    <cfRule type="cellIs" dxfId="184" priority="226" operator="equal">
      <formula>"Muy Alta"</formula>
    </cfRule>
    <cfRule type="cellIs" dxfId="183" priority="227" operator="equal">
      <formula>"Alta"</formula>
    </cfRule>
    <cfRule type="cellIs" dxfId="182" priority="228" operator="equal">
      <formula>"Media"</formula>
    </cfRule>
    <cfRule type="cellIs" dxfId="181" priority="229" operator="equal">
      <formula>"Baja"</formula>
    </cfRule>
    <cfRule type="cellIs" dxfId="180" priority="230" operator="equal">
      <formula>"Muy Baja"</formula>
    </cfRule>
  </conditionalFormatting>
  <conditionalFormatting sqref="N12">
    <cfRule type="cellIs" dxfId="179" priority="217" operator="equal">
      <formula>"Extremo"</formula>
    </cfRule>
    <cfRule type="cellIs" dxfId="178" priority="218" operator="equal">
      <formula>"Alto"</formula>
    </cfRule>
    <cfRule type="cellIs" dxfId="177" priority="219" operator="equal">
      <formula>"Moderado"</formula>
    </cfRule>
    <cfRule type="cellIs" dxfId="176" priority="220" operator="equal">
      <formula>"Bajo"</formula>
    </cfRule>
  </conditionalFormatting>
  <conditionalFormatting sqref="Y12">
    <cfRule type="cellIs" dxfId="175" priority="212" operator="equal">
      <formula>"Muy Alta"</formula>
    </cfRule>
    <cfRule type="cellIs" dxfId="174" priority="213" operator="equal">
      <formula>"Alta"</formula>
    </cfRule>
    <cfRule type="cellIs" dxfId="173" priority="214" operator="equal">
      <formula>"Media"</formula>
    </cfRule>
    <cfRule type="cellIs" dxfId="172" priority="215" operator="equal">
      <formula>"Baja"</formula>
    </cfRule>
    <cfRule type="cellIs" dxfId="171" priority="216" operator="equal">
      <formula>"Muy Baja"</formula>
    </cfRule>
  </conditionalFormatting>
  <conditionalFormatting sqref="AA12">
    <cfRule type="cellIs" dxfId="170" priority="207" operator="equal">
      <formula>"Catastrófico"</formula>
    </cfRule>
    <cfRule type="cellIs" dxfId="169" priority="208" operator="equal">
      <formula>"Mayor"</formula>
    </cfRule>
    <cfRule type="cellIs" dxfId="168" priority="209" operator="equal">
      <formula>"Moderado"</formula>
    </cfRule>
    <cfRule type="cellIs" dxfId="167" priority="210" operator="equal">
      <formula>"Menor"</formula>
    </cfRule>
    <cfRule type="cellIs" dxfId="166" priority="211" operator="equal">
      <formula>"Leve"</formula>
    </cfRule>
  </conditionalFormatting>
  <conditionalFormatting sqref="AC12">
    <cfRule type="cellIs" dxfId="165" priority="203" operator="equal">
      <formula>"Extremo"</formula>
    </cfRule>
    <cfRule type="cellIs" dxfId="164" priority="204" operator="equal">
      <formula>"Alto"</formula>
    </cfRule>
    <cfRule type="cellIs" dxfId="163" priority="205" operator="equal">
      <formula>"Moderado"</formula>
    </cfRule>
    <cfRule type="cellIs" dxfId="162" priority="206" operator="equal">
      <formula>"Bajo"</formula>
    </cfRule>
  </conditionalFormatting>
  <conditionalFormatting sqref="H13">
    <cfRule type="cellIs" dxfId="161" priority="198" operator="equal">
      <formula>"Muy Alta"</formula>
    </cfRule>
    <cfRule type="cellIs" dxfId="160" priority="199" operator="equal">
      <formula>"Alta"</formula>
    </cfRule>
    <cfRule type="cellIs" dxfId="159" priority="200" operator="equal">
      <formula>"Media"</formula>
    </cfRule>
    <cfRule type="cellIs" dxfId="158" priority="201" operator="equal">
      <formula>"Baja"</formula>
    </cfRule>
    <cfRule type="cellIs" dxfId="157" priority="202" operator="equal">
      <formula>"Muy Baja"</formula>
    </cfRule>
  </conditionalFormatting>
  <conditionalFormatting sqref="N13">
    <cfRule type="cellIs" dxfId="156" priority="189" operator="equal">
      <formula>"Extremo"</formula>
    </cfRule>
    <cfRule type="cellIs" dxfId="155" priority="190" operator="equal">
      <formula>"Alto"</formula>
    </cfRule>
    <cfRule type="cellIs" dxfId="154" priority="191" operator="equal">
      <formula>"Moderado"</formula>
    </cfRule>
    <cfRule type="cellIs" dxfId="153" priority="192" operator="equal">
      <formula>"Bajo"</formula>
    </cfRule>
  </conditionalFormatting>
  <conditionalFormatting sqref="Y13">
    <cfRule type="cellIs" dxfId="152" priority="184" operator="equal">
      <formula>"Muy Alta"</formula>
    </cfRule>
    <cfRule type="cellIs" dxfId="151" priority="185" operator="equal">
      <formula>"Alta"</formula>
    </cfRule>
    <cfRule type="cellIs" dxfId="150" priority="186" operator="equal">
      <formula>"Media"</formula>
    </cfRule>
    <cfRule type="cellIs" dxfId="149" priority="187" operator="equal">
      <formula>"Baja"</formula>
    </cfRule>
    <cfRule type="cellIs" dxfId="148" priority="188" operator="equal">
      <formula>"Muy Baja"</formula>
    </cfRule>
  </conditionalFormatting>
  <conditionalFormatting sqref="AA13">
    <cfRule type="cellIs" dxfId="147" priority="179" operator="equal">
      <formula>"Catastrófico"</formula>
    </cfRule>
    <cfRule type="cellIs" dxfId="146" priority="180" operator="equal">
      <formula>"Mayor"</formula>
    </cfRule>
    <cfRule type="cellIs" dxfId="145" priority="181" operator="equal">
      <formula>"Moderado"</formula>
    </cfRule>
    <cfRule type="cellIs" dxfId="144" priority="182" operator="equal">
      <formula>"Menor"</formula>
    </cfRule>
    <cfRule type="cellIs" dxfId="143" priority="183" operator="equal">
      <formula>"Leve"</formula>
    </cfRule>
  </conditionalFormatting>
  <conditionalFormatting sqref="AC13">
    <cfRule type="cellIs" dxfId="142" priority="175" operator="equal">
      <formula>"Extremo"</formula>
    </cfRule>
    <cfRule type="cellIs" dxfId="141" priority="176" operator="equal">
      <formula>"Alto"</formula>
    </cfRule>
    <cfRule type="cellIs" dxfId="140" priority="177" operator="equal">
      <formula>"Moderado"</formula>
    </cfRule>
    <cfRule type="cellIs" dxfId="139" priority="178" operator="equal">
      <formula>"Bajo"</formula>
    </cfRule>
  </conditionalFormatting>
  <conditionalFormatting sqref="H14">
    <cfRule type="cellIs" dxfId="138" priority="170" operator="equal">
      <formula>"Muy Alta"</formula>
    </cfRule>
    <cfRule type="cellIs" dxfId="137" priority="171" operator="equal">
      <formula>"Alta"</formula>
    </cfRule>
    <cfRule type="cellIs" dxfId="136" priority="172" operator="equal">
      <formula>"Media"</formula>
    </cfRule>
    <cfRule type="cellIs" dxfId="135" priority="173" operator="equal">
      <formula>"Baja"</formula>
    </cfRule>
    <cfRule type="cellIs" dxfId="134" priority="174" operator="equal">
      <formula>"Muy Baja"</formula>
    </cfRule>
  </conditionalFormatting>
  <conditionalFormatting sqref="N14">
    <cfRule type="cellIs" dxfId="133" priority="161" operator="equal">
      <formula>"Extremo"</formula>
    </cfRule>
    <cfRule type="cellIs" dxfId="132" priority="162" operator="equal">
      <formula>"Alto"</formula>
    </cfRule>
    <cfRule type="cellIs" dxfId="131" priority="163" operator="equal">
      <formula>"Moderado"</formula>
    </cfRule>
    <cfRule type="cellIs" dxfId="130" priority="164" operator="equal">
      <formula>"Bajo"</formula>
    </cfRule>
  </conditionalFormatting>
  <conditionalFormatting sqref="Y14">
    <cfRule type="cellIs" dxfId="129" priority="156" operator="equal">
      <formula>"Muy Alta"</formula>
    </cfRule>
    <cfRule type="cellIs" dxfId="128" priority="157" operator="equal">
      <formula>"Alta"</formula>
    </cfRule>
    <cfRule type="cellIs" dxfId="127" priority="158" operator="equal">
      <formula>"Media"</formula>
    </cfRule>
    <cfRule type="cellIs" dxfId="126" priority="159" operator="equal">
      <formula>"Baja"</formula>
    </cfRule>
    <cfRule type="cellIs" dxfId="125" priority="160" operator="equal">
      <formula>"Muy Baja"</formula>
    </cfRule>
  </conditionalFormatting>
  <conditionalFormatting sqref="AA14">
    <cfRule type="cellIs" dxfId="124" priority="151" operator="equal">
      <formula>"Catastrófico"</formula>
    </cfRule>
    <cfRule type="cellIs" dxfId="123" priority="152" operator="equal">
      <formula>"Mayor"</formula>
    </cfRule>
    <cfRule type="cellIs" dxfId="122" priority="153" operator="equal">
      <formula>"Moderado"</formula>
    </cfRule>
    <cfRule type="cellIs" dxfId="121" priority="154" operator="equal">
      <formula>"Menor"</formula>
    </cfRule>
    <cfRule type="cellIs" dxfId="120" priority="155" operator="equal">
      <formula>"Leve"</formula>
    </cfRule>
  </conditionalFormatting>
  <conditionalFormatting sqref="AC14">
    <cfRule type="cellIs" dxfId="119" priority="147" operator="equal">
      <formula>"Extremo"</formula>
    </cfRule>
    <cfRule type="cellIs" dxfId="118" priority="148" operator="equal">
      <formula>"Alto"</formula>
    </cfRule>
    <cfRule type="cellIs" dxfId="117" priority="149" operator="equal">
      <formula>"Moderado"</formula>
    </cfRule>
    <cfRule type="cellIs" dxfId="116" priority="150" operator="equal">
      <formula>"Bajo"</formula>
    </cfRule>
  </conditionalFormatting>
  <conditionalFormatting sqref="H15">
    <cfRule type="cellIs" dxfId="115" priority="142" operator="equal">
      <formula>"Muy Alta"</formula>
    </cfRule>
    <cfRule type="cellIs" dxfId="114" priority="143" operator="equal">
      <formula>"Alta"</formula>
    </cfRule>
    <cfRule type="cellIs" dxfId="113" priority="144" operator="equal">
      <formula>"Media"</formula>
    </cfRule>
    <cfRule type="cellIs" dxfId="112" priority="145" operator="equal">
      <formula>"Baja"</formula>
    </cfRule>
    <cfRule type="cellIs" dxfId="111" priority="146" operator="equal">
      <formula>"Muy Baja"</formula>
    </cfRule>
  </conditionalFormatting>
  <conditionalFormatting sqref="N15">
    <cfRule type="cellIs" dxfId="110" priority="133" operator="equal">
      <formula>"Extremo"</formula>
    </cfRule>
    <cfRule type="cellIs" dxfId="109" priority="134" operator="equal">
      <formula>"Alto"</formula>
    </cfRule>
    <cfRule type="cellIs" dxfId="108" priority="135" operator="equal">
      <formula>"Moderado"</formula>
    </cfRule>
    <cfRule type="cellIs" dxfId="107" priority="136" operator="equal">
      <formula>"Bajo"</formula>
    </cfRule>
  </conditionalFormatting>
  <conditionalFormatting sqref="Y15">
    <cfRule type="cellIs" dxfId="106" priority="128" operator="equal">
      <formula>"Muy Alta"</formula>
    </cfRule>
    <cfRule type="cellIs" dxfId="105" priority="129" operator="equal">
      <formula>"Alta"</formula>
    </cfRule>
    <cfRule type="cellIs" dxfId="104" priority="130" operator="equal">
      <formula>"Media"</formula>
    </cfRule>
    <cfRule type="cellIs" dxfId="103" priority="131" operator="equal">
      <formula>"Baja"</formula>
    </cfRule>
    <cfRule type="cellIs" dxfId="102" priority="132" operator="equal">
      <formula>"Muy Baja"</formula>
    </cfRule>
  </conditionalFormatting>
  <conditionalFormatting sqref="AA15">
    <cfRule type="cellIs" dxfId="101" priority="123" operator="equal">
      <formula>"Catastrófico"</formula>
    </cfRule>
    <cfRule type="cellIs" dxfId="100" priority="124" operator="equal">
      <formula>"Mayor"</formula>
    </cfRule>
    <cfRule type="cellIs" dxfId="99" priority="125" operator="equal">
      <formula>"Moderado"</formula>
    </cfRule>
    <cfRule type="cellIs" dxfId="98" priority="126" operator="equal">
      <formula>"Menor"</formula>
    </cfRule>
    <cfRule type="cellIs" dxfId="97" priority="127" operator="equal">
      <formula>"Leve"</formula>
    </cfRule>
  </conditionalFormatting>
  <conditionalFormatting sqref="AC15">
    <cfRule type="cellIs" dxfId="96" priority="119" operator="equal">
      <formula>"Extremo"</formula>
    </cfRule>
    <cfRule type="cellIs" dxfId="95" priority="120" operator="equal">
      <formula>"Alto"</formula>
    </cfRule>
    <cfRule type="cellIs" dxfId="94" priority="121" operator="equal">
      <formula>"Moderado"</formula>
    </cfRule>
    <cfRule type="cellIs" dxfId="93" priority="122" operator="equal">
      <formula>"Bajo"</formula>
    </cfRule>
  </conditionalFormatting>
  <conditionalFormatting sqref="H16">
    <cfRule type="cellIs" dxfId="92" priority="114" operator="equal">
      <formula>"Muy Alta"</formula>
    </cfRule>
    <cfRule type="cellIs" dxfId="91" priority="115" operator="equal">
      <formula>"Alta"</formula>
    </cfRule>
    <cfRule type="cellIs" dxfId="90" priority="116" operator="equal">
      <formula>"Media"</formula>
    </cfRule>
    <cfRule type="cellIs" dxfId="89" priority="117" operator="equal">
      <formula>"Baja"</formula>
    </cfRule>
    <cfRule type="cellIs" dxfId="88" priority="118" operator="equal">
      <formula>"Muy Baja"</formula>
    </cfRule>
  </conditionalFormatting>
  <conditionalFormatting sqref="N16">
    <cfRule type="cellIs" dxfId="87" priority="105" operator="equal">
      <formula>"Extremo"</formula>
    </cfRule>
    <cfRule type="cellIs" dxfId="86" priority="106" operator="equal">
      <formula>"Alto"</formula>
    </cfRule>
    <cfRule type="cellIs" dxfId="85" priority="107" operator="equal">
      <formula>"Moderado"</formula>
    </cfRule>
    <cfRule type="cellIs" dxfId="84" priority="108" operator="equal">
      <formula>"Bajo"</formula>
    </cfRule>
  </conditionalFormatting>
  <conditionalFormatting sqref="Y16">
    <cfRule type="cellIs" dxfId="83" priority="100" operator="equal">
      <formula>"Muy Alta"</formula>
    </cfRule>
    <cfRule type="cellIs" dxfId="82" priority="101" operator="equal">
      <formula>"Alta"</formula>
    </cfRule>
    <cfRule type="cellIs" dxfId="81" priority="102" operator="equal">
      <formula>"Media"</formula>
    </cfRule>
    <cfRule type="cellIs" dxfId="80" priority="103" operator="equal">
      <formula>"Baja"</formula>
    </cfRule>
    <cfRule type="cellIs" dxfId="79" priority="104" operator="equal">
      <formula>"Muy Baja"</formula>
    </cfRule>
  </conditionalFormatting>
  <conditionalFormatting sqref="AA16">
    <cfRule type="cellIs" dxfId="78" priority="95" operator="equal">
      <formula>"Catastrófico"</formula>
    </cfRule>
    <cfRule type="cellIs" dxfId="77" priority="96" operator="equal">
      <formula>"Mayor"</formula>
    </cfRule>
    <cfRule type="cellIs" dxfId="76" priority="97" operator="equal">
      <formula>"Moderado"</formula>
    </cfRule>
    <cfRule type="cellIs" dxfId="75" priority="98" operator="equal">
      <formula>"Menor"</formula>
    </cfRule>
    <cfRule type="cellIs" dxfId="74" priority="99" operator="equal">
      <formula>"Leve"</formula>
    </cfRule>
  </conditionalFormatting>
  <conditionalFormatting sqref="AC16">
    <cfRule type="cellIs" dxfId="73" priority="91" operator="equal">
      <formula>"Extremo"</formula>
    </cfRule>
    <cfRule type="cellIs" dxfId="72" priority="92" operator="equal">
      <formula>"Alto"</formula>
    </cfRule>
    <cfRule type="cellIs" dxfId="71" priority="93" operator="equal">
      <formula>"Moderado"</formula>
    </cfRule>
    <cfRule type="cellIs" dxfId="70" priority="94" operator="equal">
      <formula>"Bajo"</formula>
    </cfRule>
  </conditionalFormatting>
  <conditionalFormatting sqref="K10:K16">
    <cfRule type="containsText" dxfId="5" priority="6" operator="containsText" text="❌">
      <formula>NOT(ISERROR(SEARCH("❌",K10)))</formula>
    </cfRule>
  </conditionalFormatting>
  <conditionalFormatting sqref="H10">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AJ10:AJ16</xm:sqref>
        </x14:dataValidation>
        <x14:dataValidation type="list" allowBlank="1" showInputMessage="1" showErrorMessage="1">
          <x14:formula1>
            <xm:f>'Tabla Valoración controles'!$D$4:$D$6</xm:f>
          </x14:formula1>
          <xm:sqref>R10:R16</xm:sqref>
        </x14:dataValidation>
        <x14:dataValidation type="list" allowBlank="1" showInputMessage="1" showErrorMessage="1">
          <x14:formula1>
            <xm:f>'Tabla Valoración controles'!$D$7:$D$8</xm:f>
          </x14:formula1>
          <xm:sqref>S10:S16</xm:sqref>
        </x14:dataValidation>
        <x14:dataValidation type="list" allowBlank="1" showInputMessage="1" showErrorMessage="1">
          <x14:formula1>
            <xm:f>'Tabla Valoración controles'!$D$9:$D$10</xm:f>
          </x14:formula1>
          <xm:sqref>U10:U16</xm:sqref>
        </x14:dataValidation>
        <x14:dataValidation type="list" allowBlank="1" showInputMessage="1" showErrorMessage="1">
          <x14:formula1>
            <xm:f>'Tabla Valoración controles'!$D$11:$D$12</xm:f>
          </x14:formula1>
          <xm:sqref>V10:V16</xm:sqref>
        </x14:dataValidation>
        <x14:dataValidation type="list" allowBlank="1" showInputMessage="1" showErrorMessage="1">
          <x14:formula1>
            <xm:f>'Tabla Valoración controles'!$D$13:$D$14</xm:f>
          </x14:formula1>
          <xm:sqref>W10:W16</xm:sqref>
        </x14:dataValidation>
        <x14:dataValidation type="list" allowBlank="1" showInputMessage="1" showErrorMessage="1">
          <x14:formula1>
            <xm:f>'Opciones Tratamiento'!$B$13:$B$19</xm:f>
          </x14:formula1>
          <xm:sqref>F10:F16</xm:sqref>
        </x14:dataValidation>
        <x14:dataValidation type="list" allowBlank="1" showInputMessage="1" showErrorMessage="1">
          <x14:formula1>
            <xm:f>'Opciones Tratamiento'!$E$2:$E$4</xm:f>
          </x14:formula1>
          <xm:sqref>B10:B16</xm:sqref>
        </x14:dataValidation>
        <x14:dataValidation type="list" allowBlank="1" showInputMessage="1" showErrorMessage="1">
          <x14:formula1>
            <xm:f>'Opciones Tratamiento'!$B$2:$B$5</xm:f>
          </x14:formula1>
          <xm:sqref>AD10:AD16</xm:sqref>
        </x14:dataValidation>
        <x14:dataValidation type="list" allowBlank="1" showInputMessage="1" showErrorMessage="1">
          <x14:formula1>
            <xm:f>'Tabla Impacto'!$F$210:$F$221</xm:f>
          </x14:formula1>
          <xm:sqref>J10:J16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AE10:AE16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AF10:AF16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AG10:AG16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AH10:AH16</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310" t="s">
        <v>160</v>
      </c>
      <c r="C2" s="310"/>
      <c r="D2" s="310"/>
      <c r="E2" s="310"/>
      <c r="F2" s="310"/>
      <c r="G2" s="310"/>
      <c r="H2" s="310"/>
      <c r="I2" s="310"/>
      <c r="J2" s="277" t="s">
        <v>2</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310"/>
      <c r="C3" s="310"/>
      <c r="D3" s="310"/>
      <c r="E3" s="310"/>
      <c r="F3" s="310"/>
      <c r="G3" s="310"/>
      <c r="H3" s="310"/>
      <c r="I3" s="310"/>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310"/>
      <c r="C4" s="310"/>
      <c r="D4" s="310"/>
      <c r="E4" s="310"/>
      <c r="F4" s="310"/>
      <c r="G4" s="310"/>
      <c r="H4" s="310"/>
      <c r="I4" s="310"/>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223" t="s">
        <v>4</v>
      </c>
      <c r="C6" s="223"/>
      <c r="D6" s="224"/>
      <c r="E6" s="261" t="s">
        <v>116</v>
      </c>
      <c r="F6" s="262"/>
      <c r="G6" s="262"/>
      <c r="H6" s="262"/>
      <c r="I6" s="263"/>
      <c r="J6" s="273" t="str">
        <f>IF(AND('Mapa final'!$H$10="Muy Alta",'Mapa final'!$L$10="Leve"),CONCATENATE("R",'Mapa final'!$A$10),"")</f>
        <v/>
      </c>
      <c r="K6" s="274"/>
      <c r="L6" s="274" t="str">
        <f>IF(AND('Mapa final'!$H$11="Muy Alta",'Mapa final'!$L$11="Leve"),CONCATENATE("R",'Mapa final'!$A$11),"")</f>
        <v/>
      </c>
      <c r="M6" s="274"/>
      <c r="N6" s="274" t="str">
        <f>IF(AND('Mapa final'!$H$12="Muy Alta",'Mapa final'!$L$12="Leve"),CONCATENATE("R",'Mapa final'!$A$12),"")</f>
        <v/>
      </c>
      <c r="O6" s="276"/>
      <c r="P6" s="273" t="str">
        <f>IF(AND('Mapa final'!$H$10="Muy Alta",'Mapa final'!$L$10="Menor"),CONCATENATE("R",'Mapa final'!$A$10),"")</f>
        <v/>
      </c>
      <c r="Q6" s="274"/>
      <c r="R6" s="274" t="str">
        <f>IF(AND('Mapa final'!$H$11="Muy Alta",'Mapa final'!$L$11="Menor"),CONCATENATE("R",'Mapa final'!$A$11),"")</f>
        <v/>
      </c>
      <c r="S6" s="274"/>
      <c r="T6" s="274" t="str">
        <f>IF(AND('Mapa final'!$H$12="Muy Alta",'Mapa final'!$L$12="Menor"),CONCATENATE("R",'Mapa final'!$A$12),"")</f>
        <v/>
      </c>
      <c r="U6" s="276"/>
      <c r="V6" s="273" t="str">
        <f>IF(AND('Mapa final'!$H$10="Muy Alta",'Mapa final'!$L$10="Moderado"),CONCATENATE("R",'Mapa final'!$A$10),"")</f>
        <v/>
      </c>
      <c r="W6" s="274"/>
      <c r="X6" s="274" t="str">
        <f>IF(AND('Mapa final'!$H$11="Muy Alta",'Mapa final'!$L$11="Moderado"),CONCATENATE("R",'Mapa final'!$A$11),"")</f>
        <v/>
      </c>
      <c r="Y6" s="274"/>
      <c r="Z6" s="274" t="str">
        <f>IF(AND('Mapa final'!$H$12="Muy Alta",'Mapa final'!$L$12="Moderado"),CONCATENATE("R",'Mapa final'!$A$12),"")</f>
        <v/>
      </c>
      <c r="AA6" s="276"/>
      <c r="AB6" s="273" t="str">
        <f>IF(AND('Mapa final'!$H$10="Muy Alta",'Mapa final'!$L$10="Mayor"),CONCATENATE("R",'Mapa final'!$A$10),"")</f>
        <v/>
      </c>
      <c r="AC6" s="274"/>
      <c r="AD6" s="274" t="str">
        <f>IF(AND('Mapa final'!$H$11="Muy Alta",'Mapa final'!$L$11="Mayor"),CONCATENATE("R",'Mapa final'!$A$11),"")</f>
        <v/>
      </c>
      <c r="AE6" s="274"/>
      <c r="AF6" s="274" t="str">
        <f>IF(AND('Mapa final'!$H$12="Muy Alta",'Mapa final'!$L$12="Mayor"),CONCATENATE("R",'Mapa final'!$A$12),"")</f>
        <v/>
      </c>
      <c r="AG6" s="276"/>
      <c r="AH6" s="289" t="str">
        <f>IF(AND('Mapa final'!$H$10="Muy Alta",'Mapa final'!$L$10="Catastrófico"),CONCATENATE("R",'Mapa final'!$A$10),"")</f>
        <v/>
      </c>
      <c r="AI6" s="290"/>
      <c r="AJ6" s="290" t="str">
        <f>IF(AND('Mapa final'!$H$11="Muy Alta",'Mapa final'!$L$11="Catastrófico"),CONCATENATE("R",'Mapa final'!$A$11),"")</f>
        <v/>
      </c>
      <c r="AK6" s="290"/>
      <c r="AL6" s="290" t="str">
        <f>IF(AND('Mapa final'!$H$12="Muy Alta",'Mapa final'!$L$12="Catastrófico"),CONCATENATE("R",'Mapa final'!$A$12),"")</f>
        <v/>
      </c>
      <c r="AM6" s="291"/>
      <c r="AO6" s="225" t="s">
        <v>79</v>
      </c>
      <c r="AP6" s="226"/>
      <c r="AQ6" s="226"/>
      <c r="AR6" s="226"/>
      <c r="AS6" s="226"/>
      <c r="AT6" s="22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223"/>
      <c r="C7" s="223"/>
      <c r="D7" s="224"/>
      <c r="E7" s="264"/>
      <c r="F7" s="265"/>
      <c r="G7" s="265"/>
      <c r="H7" s="265"/>
      <c r="I7" s="266"/>
      <c r="J7" s="275"/>
      <c r="K7" s="272"/>
      <c r="L7" s="272"/>
      <c r="M7" s="272"/>
      <c r="N7" s="272"/>
      <c r="O7" s="271"/>
      <c r="P7" s="275"/>
      <c r="Q7" s="272"/>
      <c r="R7" s="272"/>
      <c r="S7" s="272"/>
      <c r="T7" s="272"/>
      <c r="U7" s="271"/>
      <c r="V7" s="275"/>
      <c r="W7" s="272"/>
      <c r="X7" s="272"/>
      <c r="Y7" s="272"/>
      <c r="Z7" s="272"/>
      <c r="AA7" s="271"/>
      <c r="AB7" s="275"/>
      <c r="AC7" s="272"/>
      <c r="AD7" s="272"/>
      <c r="AE7" s="272"/>
      <c r="AF7" s="272"/>
      <c r="AG7" s="271"/>
      <c r="AH7" s="283"/>
      <c r="AI7" s="284"/>
      <c r="AJ7" s="284"/>
      <c r="AK7" s="284"/>
      <c r="AL7" s="284"/>
      <c r="AM7" s="285"/>
      <c r="AN7" s="84"/>
      <c r="AO7" s="228"/>
      <c r="AP7" s="229"/>
      <c r="AQ7" s="229"/>
      <c r="AR7" s="229"/>
      <c r="AS7" s="229"/>
      <c r="AT7" s="23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223"/>
      <c r="C8" s="223"/>
      <c r="D8" s="224"/>
      <c r="E8" s="264"/>
      <c r="F8" s="265"/>
      <c r="G8" s="265"/>
      <c r="H8" s="265"/>
      <c r="I8" s="266"/>
      <c r="J8" s="275" t="str">
        <f>IF(AND('Mapa final'!$H$13="Muy Alta",'Mapa final'!$L$13="Leve"),CONCATENATE("R",'Mapa final'!$A$13),"")</f>
        <v/>
      </c>
      <c r="K8" s="272"/>
      <c r="L8" s="270" t="str">
        <f>IF(AND('Mapa final'!$H$14="Muy Alta",'Mapa final'!$L$14="Leve"),CONCATENATE("R",'Mapa final'!$A$14),"")</f>
        <v/>
      </c>
      <c r="M8" s="270"/>
      <c r="N8" s="270" t="str">
        <f>IF(AND('Mapa final'!$H$15="Muy Alta",'Mapa final'!$L$15="Leve"),CONCATENATE("R",'Mapa final'!$A$15),"")</f>
        <v/>
      </c>
      <c r="O8" s="271"/>
      <c r="P8" s="275" t="str">
        <f>IF(AND('Mapa final'!$H$13="Muy Alta",'Mapa final'!$L$13="Menor"),CONCATENATE("R",'Mapa final'!$A$13),"")</f>
        <v/>
      </c>
      <c r="Q8" s="272"/>
      <c r="R8" s="270" t="str">
        <f>IF(AND('Mapa final'!$H$14="Muy Alta",'Mapa final'!$L$14="Menor"),CONCATENATE("R",'Mapa final'!$A$14),"")</f>
        <v/>
      </c>
      <c r="S8" s="270"/>
      <c r="T8" s="270" t="str">
        <f>IF(AND('Mapa final'!$H$15="Muy Alta",'Mapa final'!$L$15="Menor"),CONCATENATE("R",'Mapa final'!$A$15),"")</f>
        <v/>
      </c>
      <c r="U8" s="271"/>
      <c r="V8" s="275" t="str">
        <f>IF(AND('Mapa final'!$H$13="Muy Alta",'Mapa final'!$L$13="Moderado"),CONCATENATE("R",'Mapa final'!$A$13),"")</f>
        <v/>
      </c>
      <c r="W8" s="272"/>
      <c r="X8" s="270" t="str">
        <f>IF(AND('Mapa final'!$H$14="Muy Alta",'Mapa final'!$L$14="Moderado"),CONCATENATE("R",'Mapa final'!$A$14),"")</f>
        <v/>
      </c>
      <c r="Y8" s="270"/>
      <c r="Z8" s="270" t="str">
        <f>IF(AND('Mapa final'!$H$15="Muy Alta",'Mapa final'!$L$15="Moderado"),CONCATENATE("R",'Mapa final'!$A$15),"")</f>
        <v/>
      </c>
      <c r="AA8" s="271"/>
      <c r="AB8" s="275" t="str">
        <f>IF(AND('Mapa final'!$H$13="Muy Alta",'Mapa final'!$L$13="Mayor"),CONCATENATE("R",'Mapa final'!$A$13),"")</f>
        <v/>
      </c>
      <c r="AC8" s="272"/>
      <c r="AD8" s="270" t="str">
        <f>IF(AND('Mapa final'!$H$14="Muy Alta",'Mapa final'!$L$14="Mayor"),CONCATENATE("R",'Mapa final'!$A$14),"")</f>
        <v/>
      </c>
      <c r="AE8" s="270"/>
      <c r="AF8" s="270" t="str">
        <f>IF(AND('Mapa final'!$H$15="Muy Alta",'Mapa final'!$L$15="Mayor"),CONCATENATE("R",'Mapa final'!$A$15),"")</f>
        <v/>
      </c>
      <c r="AG8" s="271"/>
      <c r="AH8" s="283" t="str">
        <f>IF(AND('Mapa final'!$H$13="Muy Alta",'Mapa final'!$L$13="Catastrófico"),CONCATENATE("R",'Mapa final'!$A$13),"")</f>
        <v/>
      </c>
      <c r="AI8" s="284"/>
      <c r="AJ8" s="284" t="str">
        <f>IF(AND('Mapa final'!$H$14="Muy Alta",'Mapa final'!$L$14="Catastrófico"),CONCATENATE("R",'Mapa final'!$A$14),"")</f>
        <v/>
      </c>
      <c r="AK8" s="284"/>
      <c r="AL8" s="284" t="str">
        <f>IF(AND('Mapa final'!$H$15="Muy Alta",'Mapa final'!$L$15="Catastrófico"),CONCATENATE("R",'Mapa final'!$A$15),"")</f>
        <v/>
      </c>
      <c r="AM8" s="285"/>
      <c r="AN8" s="84"/>
      <c r="AO8" s="228"/>
      <c r="AP8" s="229"/>
      <c r="AQ8" s="229"/>
      <c r="AR8" s="229"/>
      <c r="AS8" s="229"/>
      <c r="AT8" s="23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223"/>
      <c r="C9" s="223"/>
      <c r="D9" s="224"/>
      <c r="E9" s="264"/>
      <c r="F9" s="265"/>
      <c r="G9" s="265"/>
      <c r="H9" s="265"/>
      <c r="I9" s="266"/>
      <c r="J9" s="275"/>
      <c r="K9" s="272"/>
      <c r="L9" s="270"/>
      <c r="M9" s="270"/>
      <c r="N9" s="270"/>
      <c r="O9" s="271"/>
      <c r="P9" s="275"/>
      <c r="Q9" s="272"/>
      <c r="R9" s="270"/>
      <c r="S9" s="270"/>
      <c r="T9" s="270"/>
      <c r="U9" s="271"/>
      <c r="V9" s="275"/>
      <c r="W9" s="272"/>
      <c r="X9" s="270"/>
      <c r="Y9" s="270"/>
      <c r="Z9" s="270"/>
      <c r="AA9" s="271"/>
      <c r="AB9" s="275"/>
      <c r="AC9" s="272"/>
      <c r="AD9" s="270"/>
      <c r="AE9" s="270"/>
      <c r="AF9" s="270"/>
      <c r="AG9" s="271"/>
      <c r="AH9" s="283"/>
      <c r="AI9" s="284"/>
      <c r="AJ9" s="284"/>
      <c r="AK9" s="284"/>
      <c r="AL9" s="284"/>
      <c r="AM9" s="285"/>
      <c r="AN9" s="84"/>
      <c r="AO9" s="228"/>
      <c r="AP9" s="229"/>
      <c r="AQ9" s="229"/>
      <c r="AR9" s="229"/>
      <c r="AS9" s="229"/>
      <c r="AT9" s="23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223"/>
      <c r="C10" s="223"/>
      <c r="D10" s="224"/>
      <c r="E10" s="264"/>
      <c r="F10" s="265"/>
      <c r="G10" s="265"/>
      <c r="H10" s="265"/>
      <c r="I10" s="266"/>
      <c r="J10" s="275" t="str">
        <f>IF(AND('Mapa final'!$H$16="Muy Alta",'Mapa final'!$L$16="Leve"),CONCATENATE("R",'Mapa final'!$A$16),"")</f>
        <v/>
      </c>
      <c r="K10" s="272"/>
      <c r="L10" s="270" t="e">
        <f>IF(AND('Mapa final'!#REF!="Muy Alta",'Mapa final'!#REF!="Leve"),CONCATENATE("R",'Mapa final'!#REF!),"")</f>
        <v>#REF!</v>
      </c>
      <c r="M10" s="270"/>
      <c r="N10" s="270" t="e">
        <f>IF(AND('Mapa final'!#REF!="Muy Alta",'Mapa final'!#REF!="Leve"),CONCATENATE("R",'Mapa final'!#REF!),"")</f>
        <v>#REF!</v>
      </c>
      <c r="O10" s="271"/>
      <c r="P10" s="275" t="str">
        <f>IF(AND('Mapa final'!$H$16="Muy Alta",'Mapa final'!$L$16="Menor"),CONCATENATE("R",'Mapa final'!$A$16),"")</f>
        <v/>
      </c>
      <c r="Q10" s="272"/>
      <c r="R10" s="270" t="e">
        <f>IF(AND('Mapa final'!#REF!="Muy Alta",'Mapa final'!#REF!="Menor"),CONCATENATE("R",'Mapa final'!#REF!),"")</f>
        <v>#REF!</v>
      </c>
      <c r="S10" s="270"/>
      <c r="T10" s="270" t="e">
        <f>IF(AND('Mapa final'!#REF!="Muy Alta",'Mapa final'!#REF!="Menor"),CONCATENATE("R",'Mapa final'!#REF!),"")</f>
        <v>#REF!</v>
      </c>
      <c r="U10" s="271"/>
      <c r="V10" s="275" t="str">
        <f>IF(AND('Mapa final'!$H$16="Muy Alta",'Mapa final'!$L$16="Moderado"),CONCATENATE("R",'Mapa final'!$A$16),"")</f>
        <v/>
      </c>
      <c r="W10" s="272"/>
      <c r="X10" s="270" t="e">
        <f>IF(AND('Mapa final'!#REF!="Muy Alta",'Mapa final'!#REF!="Moderado"),CONCATENATE("R",'Mapa final'!#REF!),"")</f>
        <v>#REF!</v>
      </c>
      <c r="Y10" s="270"/>
      <c r="Z10" s="270" t="e">
        <f>IF(AND('Mapa final'!#REF!="Muy Alta",'Mapa final'!#REF!="Moderado"),CONCATENATE("R",'Mapa final'!#REF!),"")</f>
        <v>#REF!</v>
      </c>
      <c r="AA10" s="271"/>
      <c r="AB10" s="275" t="str">
        <f>IF(AND('Mapa final'!$H$16="Muy Alta",'Mapa final'!$L$16="Mayor"),CONCATENATE("R",'Mapa final'!$A$16),"")</f>
        <v/>
      </c>
      <c r="AC10" s="272"/>
      <c r="AD10" s="270" t="e">
        <f>IF(AND('Mapa final'!#REF!="Muy Alta",'Mapa final'!#REF!="Mayor"),CONCATENATE("R",'Mapa final'!#REF!),"")</f>
        <v>#REF!</v>
      </c>
      <c r="AE10" s="270"/>
      <c r="AF10" s="270" t="e">
        <f>IF(AND('Mapa final'!#REF!="Muy Alta",'Mapa final'!#REF!="Mayor"),CONCATENATE("R",'Mapa final'!#REF!),"")</f>
        <v>#REF!</v>
      </c>
      <c r="AG10" s="271"/>
      <c r="AH10" s="283" t="str">
        <f>IF(AND('Mapa final'!$H$16="Muy Alta",'Mapa final'!$L$16="Catastrófico"),CONCATENATE("R",'Mapa final'!$A$16),"")</f>
        <v/>
      </c>
      <c r="AI10" s="284"/>
      <c r="AJ10" s="284" t="e">
        <f>IF(AND('Mapa final'!#REF!="Muy Alta",'Mapa final'!#REF!="Catastrófico"),CONCATENATE("R",'Mapa final'!#REF!),"")</f>
        <v>#REF!</v>
      </c>
      <c r="AK10" s="284"/>
      <c r="AL10" s="284" t="e">
        <f>IF(AND('Mapa final'!#REF!="Muy Alta",'Mapa final'!#REF!="Catastrófico"),CONCATENATE("R",'Mapa final'!#REF!),"")</f>
        <v>#REF!</v>
      </c>
      <c r="AM10" s="285"/>
      <c r="AN10" s="84"/>
      <c r="AO10" s="228"/>
      <c r="AP10" s="229"/>
      <c r="AQ10" s="229"/>
      <c r="AR10" s="229"/>
      <c r="AS10" s="229"/>
      <c r="AT10" s="23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223"/>
      <c r="C11" s="223"/>
      <c r="D11" s="224"/>
      <c r="E11" s="264"/>
      <c r="F11" s="265"/>
      <c r="G11" s="265"/>
      <c r="H11" s="265"/>
      <c r="I11" s="266"/>
      <c r="J11" s="275"/>
      <c r="K11" s="272"/>
      <c r="L11" s="270"/>
      <c r="M11" s="270"/>
      <c r="N11" s="270"/>
      <c r="O11" s="271"/>
      <c r="P11" s="275"/>
      <c r="Q11" s="272"/>
      <c r="R11" s="270"/>
      <c r="S11" s="270"/>
      <c r="T11" s="270"/>
      <c r="U11" s="271"/>
      <c r="V11" s="275"/>
      <c r="W11" s="272"/>
      <c r="X11" s="270"/>
      <c r="Y11" s="270"/>
      <c r="Z11" s="270"/>
      <c r="AA11" s="271"/>
      <c r="AB11" s="275"/>
      <c r="AC11" s="272"/>
      <c r="AD11" s="270"/>
      <c r="AE11" s="270"/>
      <c r="AF11" s="270"/>
      <c r="AG11" s="271"/>
      <c r="AH11" s="283"/>
      <c r="AI11" s="284"/>
      <c r="AJ11" s="284"/>
      <c r="AK11" s="284"/>
      <c r="AL11" s="284"/>
      <c r="AM11" s="285"/>
      <c r="AN11" s="84"/>
      <c r="AO11" s="228"/>
      <c r="AP11" s="229"/>
      <c r="AQ11" s="229"/>
      <c r="AR11" s="229"/>
      <c r="AS11" s="229"/>
      <c r="AT11" s="23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223"/>
      <c r="C12" s="223"/>
      <c r="D12" s="224"/>
      <c r="E12" s="264"/>
      <c r="F12" s="265"/>
      <c r="G12" s="265"/>
      <c r="H12" s="265"/>
      <c r="I12" s="266"/>
      <c r="J12" s="275" t="e">
        <f>IF(AND('Mapa final'!#REF!="Muy Alta",'Mapa final'!#REF!="Leve"),CONCATENATE("R",'Mapa final'!#REF!),"")</f>
        <v>#REF!</v>
      </c>
      <c r="K12" s="272"/>
      <c r="L12" s="270" t="str">
        <f>IF(AND('Mapa final'!$H$17="Muy Alta",'Mapa final'!$L$17="Leve"),CONCATENATE("R",'Mapa final'!$A$17),"")</f>
        <v/>
      </c>
      <c r="M12" s="270"/>
      <c r="N12" s="270" t="str">
        <f>IF(AND('Mapa final'!$H$23="Muy Alta",'Mapa final'!$L$23="Leve"),CONCATENATE("R",'Mapa final'!$A$23),"")</f>
        <v/>
      </c>
      <c r="O12" s="271"/>
      <c r="P12" s="275" t="e">
        <f>IF(AND('Mapa final'!#REF!="Muy Alta",'Mapa final'!#REF!="Menor"),CONCATENATE("R",'Mapa final'!#REF!),"")</f>
        <v>#REF!</v>
      </c>
      <c r="Q12" s="272"/>
      <c r="R12" s="270" t="str">
        <f>IF(AND('Mapa final'!$H$17="Muy Alta",'Mapa final'!$L$17="Menor"),CONCATENATE("R",'Mapa final'!$A$17),"")</f>
        <v/>
      </c>
      <c r="S12" s="270"/>
      <c r="T12" s="270" t="str">
        <f>IF(AND('Mapa final'!$H$23="Muy Alta",'Mapa final'!$L$23="Menor"),CONCATENATE("R",'Mapa final'!$A$23),"")</f>
        <v/>
      </c>
      <c r="U12" s="271"/>
      <c r="V12" s="275" t="e">
        <f>IF(AND('Mapa final'!#REF!="Muy Alta",'Mapa final'!#REF!="Moderado"),CONCATENATE("R",'Mapa final'!#REF!),"")</f>
        <v>#REF!</v>
      </c>
      <c r="W12" s="272"/>
      <c r="X12" s="270" t="str">
        <f>IF(AND('Mapa final'!$H$17="Muy Alta",'Mapa final'!$L$17="Moderado"),CONCATENATE("R",'Mapa final'!$A$17),"")</f>
        <v/>
      </c>
      <c r="Y12" s="270"/>
      <c r="Z12" s="270" t="str">
        <f>IF(AND('Mapa final'!$H$23="Muy Alta",'Mapa final'!$L$23="Moderado"),CONCATENATE("R",'Mapa final'!$A$23),"")</f>
        <v/>
      </c>
      <c r="AA12" s="271"/>
      <c r="AB12" s="275" t="e">
        <f>IF(AND('Mapa final'!#REF!="Muy Alta",'Mapa final'!#REF!="Mayor"),CONCATENATE("R",'Mapa final'!#REF!),"")</f>
        <v>#REF!</v>
      </c>
      <c r="AC12" s="272"/>
      <c r="AD12" s="270" t="str">
        <f>IF(AND('Mapa final'!$H$17="Muy Alta",'Mapa final'!$L$17="Mayor"),CONCATENATE("R",'Mapa final'!$A$17),"")</f>
        <v/>
      </c>
      <c r="AE12" s="270"/>
      <c r="AF12" s="270" t="str">
        <f>IF(AND('Mapa final'!$H$23="Muy Alta",'Mapa final'!$L$23="Mayor"),CONCATENATE("R",'Mapa final'!$A$23),"")</f>
        <v/>
      </c>
      <c r="AG12" s="271"/>
      <c r="AH12" s="283" t="e">
        <f>IF(AND('Mapa final'!#REF!="Muy Alta",'Mapa final'!#REF!="Catastrófico"),CONCATENATE("R",'Mapa final'!#REF!),"")</f>
        <v>#REF!</v>
      </c>
      <c r="AI12" s="284"/>
      <c r="AJ12" s="284" t="str">
        <f>IF(AND('Mapa final'!$H$17="Muy Alta",'Mapa final'!$L$17="Catastrófico"),CONCATENATE("R",'Mapa final'!$A$17),"")</f>
        <v/>
      </c>
      <c r="AK12" s="284"/>
      <c r="AL12" s="284" t="str">
        <f>IF(AND('Mapa final'!$H$23="Muy Alta",'Mapa final'!$L$23="Catastrófico"),CONCATENATE("R",'Mapa final'!$A$23),"")</f>
        <v/>
      </c>
      <c r="AM12" s="285"/>
      <c r="AN12" s="84"/>
      <c r="AO12" s="228"/>
      <c r="AP12" s="229"/>
      <c r="AQ12" s="229"/>
      <c r="AR12" s="229"/>
      <c r="AS12" s="229"/>
      <c r="AT12" s="23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223"/>
      <c r="C13" s="223"/>
      <c r="D13" s="224"/>
      <c r="E13" s="267"/>
      <c r="F13" s="268"/>
      <c r="G13" s="268"/>
      <c r="H13" s="268"/>
      <c r="I13" s="269"/>
      <c r="J13" s="275"/>
      <c r="K13" s="272"/>
      <c r="L13" s="272"/>
      <c r="M13" s="272"/>
      <c r="N13" s="272"/>
      <c r="O13" s="271"/>
      <c r="P13" s="275"/>
      <c r="Q13" s="272"/>
      <c r="R13" s="272"/>
      <c r="S13" s="272"/>
      <c r="T13" s="272"/>
      <c r="U13" s="271"/>
      <c r="V13" s="275"/>
      <c r="W13" s="272"/>
      <c r="X13" s="272"/>
      <c r="Y13" s="272"/>
      <c r="Z13" s="272"/>
      <c r="AA13" s="271"/>
      <c r="AB13" s="275"/>
      <c r="AC13" s="272"/>
      <c r="AD13" s="272"/>
      <c r="AE13" s="272"/>
      <c r="AF13" s="272"/>
      <c r="AG13" s="271"/>
      <c r="AH13" s="286"/>
      <c r="AI13" s="287"/>
      <c r="AJ13" s="287"/>
      <c r="AK13" s="287"/>
      <c r="AL13" s="287"/>
      <c r="AM13" s="288"/>
      <c r="AN13" s="84"/>
      <c r="AO13" s="231"/>
      <c r="AP13" s="232"/>
      <c r="AQ13" s="232"/>
      <c r="AR13" s="232"/>
      <c r="AS13" s="232"/>
      <c r="AT13" s="23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223"/>
      <c r="C14" s="223"/>
      <c r="D14" s="224"/>
      <c r="E14" s="261" t="s">
        <v>115</v>
      </c>
      <c r="F14" s="262"/>
      <c r="G14" s="262"/>
      <c r="H14" s="262"/>
      <c r="I14" s="262"/>
      <c r="J14" s="298" t="str">
        <f>IF(AND('Mapa final'!$H$10="Alta",'Mapa final'!$L$10="Leve"),CONCATENATE("R",'Mapa final'!$A$10),"")</f>
        <v/>
      </c>
      <c r="K14" s="299"/>
      <c r="L14" s="299" t="str">
        <f>IF(AND('Mapa final'!$H$11="Alta",'Mapa final'!$L$11="Leve"),CONCATENATE("R",'Mapa final'!$A$11),"")</f>
        <v/>
      </c>
      <c r="M14" s="299"/>
      <c r="N14" s="299" t="str">
        <f>IF(AND('Mapa final'!$H$12="Alta",'Mapa final'!$L$12="Leve"),CONCATENATE("R",'Mapa final'!$A$12),"")</f>
        <v/>
      </c>
      <c r="O14" s="300"/>
      <c r="P14" s="298" t="str">
        <f>IF(AND('Mapa final'!$H$10="Alta",'Mapa final'!$L$10="Menor"),CONCATENATE("R",'Mapa final'!$A$10),"")</f>
        <v/>
      </c>
      <c r="Q14" s="299"/>
      <c r="R14" s="299" t="str">
        <f>IF(AND('Mapa final'!$H$11="Alta",'Mapa final'!$L$11="Menor"),CONCATENATE("R",'Mapa final'!$A$11),"")</f>
        <v/>
      </c>
      <c r="S14" s="299"/>
      <c r="T14" s="299" t="str">
        <f>IF(AND('Mapa final'!$H$12="Alta",'Mapa final'!$L$12="Menor"),CONCATENATE("R",'Mapa final'!$A$12),"")</f>
        <v/>
      </c>
      <c r="U14" s="300"/>
      <c r="V14" s="273" t="str">
        <f>IF(AND('Mapa final'!$H$10="Alta",'Mapa final'!$L$10="Moderado"),CONCATENATE("R",'Mapa final'!$A$10),"")</f>
        <v/>
      </c>
      <c r="W14" s="274"/>
      <c r="X14" s="274" t="str">
        <f>IF(AND('Mapa final'!$H$11="Alta",'Mapa final'!$L$11="Moderado"),CONCATENATE("R",'Mapa final'!$A$11),"")</f>
        <v/>
      </c>
      <c r="Y14" s="274"/>
      <c r="Z14" s="274" t="str">
        <f>IF(AND('Mapa final'!$H$12="Alta",'Mapa final'!$L$12="Moderado"),CONCATENATE("R",'Mapa final'!$A$12),"")</f>
        <v>R3</v>
      </c>
      <c r="AA14" s="276"/>
      <c r="AB14" s="273" t="str">
        <f>IF(AND('Mapa final'!$H$10="Alta",'Mapa final'!$L$10="Mayor"),CONCATENATE("R",'Mapa final'!$A$10),"")</f>
        <v/>
      </c>
      <c r="AC14" s="274"/>
      <c r="AD14" s="274" t="str">
        <f>IF(AND('Mapa final'!$H$11="Alta",'Mapa final'!$L$11="Mayor"),CONCATENATE("R",'Mapa final'!$A$11),"")</f>
        <v/>
      </c>
      <c r="AE14" s="274"/>
      <c r="AF14" s="274" t="str">
        <f>IF(AND('Mapa final'!$H$12="Alta",'Mapa final'!$L$12="Mayor"),CONCATENATE("R",'Mapa final'!$A$12),"")</f>
        <v/>
      </c>
      <c r="AG14" s="276"/>
      <c r="AH14" s="289" t="str">
        <f>IF(AND('Mapa final'!$H$10="Alta",'Mapa final'!$L$10="Catastrófico"),CONCATENATE("R",'Mapa final'!$A$10),"")</f>
        <v/>
      </c>
      <c r="AI14" s="290"/>
      <c r="AJ14" s="290" t="str">
        <f>IF(AND('Mapa final'!$H$11="Alta",'Mapa final'!$L$11="Catastrófico"),CONCATENATE("R",'Mapa final'!$A$11),"")</f>
        <v/>
      </c>
      <c r="AK14" s="290"/>
      <c r="AL14" s="290" t="str">
        <f>IF(AND('Mapa final'!$H$12="Alta",'Mapa final'!$L$12="Catastrófico"),CONCATENATE("R",'Mapa final'!$A$12),"")</f>
        <v/>
      </c>
      <c r="AM14" s="291"/>
      <c r="AN14" s="84"/>
      <c r="AO14" s="234" t="s">
        <v>80</v>
      </c>
      <c r="AP14" s="235"/>
      <c r="AQ14" s="235"/>
      <c r="AR14" s="235"/>
      <c r="AS14" s="235"/>
      <c r="AT14" s="23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223"/>
      <c r="C15" s="223"/>
      <c r="D15" s="224"/>
      <c r="E15" s="264"/>
      <c r="F15" s="265"/>
      <c r="G15" s="265"/>
      <c r="H15" s="265"/>
      <c r="I15" s="278"/>
      <c r="J15" s="292"/>
      <c r="K15" s="293"/>
      <c r="L15" s="293"/>
      <c r="M15" s="293"/>
      <c r="N15" s="293"/>
      <c r="O15" s="294"/>
      <c r="P15" s="292"/>
      <c r="Q15" s="293"/>
      <c r="R15" s="293"/>
      <c r="S15" s="293"/>
      <c r="T15" s="293"/>
      <c r="U15" s="294"/>
      <c r="V15" s="275"/>
      <c r="W15" s="272"/>
      <c r="X15" s="272"/>
      <c r="Y15" s="272"/>
      <c r="Z15" s="272"/>
      <c r="AA15" s="271"/>
      <c r="AB15" s="275"/>
      <c r="AC15" s="272"/>
      <c r="AD15" s="272"/>
      <c r="AE15" s="272"/>
      <c r="AF15" s="272"/>
      <c r="AG15" s="271"/>
      <c r="AH15" s="283"/>
      <c r="AI15" s="284"/>
      <c r="AJ15" s="284"/>
      <c r="AK15" s="284"/>
      <c r="AL15" s="284"/>
      <c r="AM15" s="285"/>
      <c r="AN15" s="84"/>
      <c r="AO15" s="237"/>
      <c r="AP15" s="238"/>
      <c r="AQ15" s="238"/>
      <c r="AR15" s="238"/>
      <c r="AS15" s="238"/>
      <c r="AT15" s="23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223"/>
      <c r="C16" s="223"/>
      <c r="D16" s="224"/>
      <c r="E16" s="264"/>
      <c r="F16" s="265"/>
      <c r="G16" s="265"/>
      <c r="H16" s="265"/>
      <c r="I16" s="278"/>
      <c r="J16" s="292" t="str">
        <f>IF(AND('Mapa final'!$H$13="Alta",'Mapa final'!$L$13="Leve"),CONCATENATE("R",'Mapa final'!$A$13),"")</f>
        <v/>
      </c>
      <c r="K16" s="293"/>
      <c r="L16" s="293" t="str">
        <f>IF(AND('Mapa final'!$H$14="Alta",'Mapa final'!$L$14="Leve"),CONCATENATE("R",'Mapa final'!$A$14),"")</f>
        <v/>
      </c>
      <c r="M16" s="293"/>
      <c r="N16" s="293" t="str">
        <f>IF(AND('Mapa final'!$H$15="Alta",'Mapa final'!$L$15="Leve"),CONCATENATE("R",'Mapa final'!$A$15),"")</f>
        <v/>
      </c>
      <c r="O16" s="294"/>
      <c r="P16" s="292" t="str">
        <f>IF(AND('Mapa final'!$H$13="Alta",'Mapa final'!$L$13="Menor"),CONCATENATE("R",'Mapa final'!$A$13),"")</f>
        <v/>
      </c>
      <c r="Q16" s="293"/>
      <c r="R16" s="293" t="str">
        <f>IF(AND('Mapa final'!$H$14="Alta",'Mapa final'!$L$14="Menor"),CONCATENATE("R",'Mapa final'!$A$14),"")</f>
        <v/>
      </c>
      <c r="S16" s="293"/>
      <c r="T16" s="293" t="str">
        <f>IF(AND('Mapa final'!$H$15="Alta",'Mapa final'!$L$15="Menor"),CONCATENATE("R",'Mapa final'!$A$15),"")</f>
        <v/>
      </c>
      <c r="U16" s="294"/>
      <c r="V16" s="275" t="str">
        <f>IF(AND('Mapa final'!$H$13="Alta",'Mapa final'!$L$13="Moderado"),CONCATENATE("R",'Mapa final'!$A$13),"")</f>
        <v/>
      </c>
      <c r="W16" s="272"/>
      <c r="X16" s="270" t="str">
        <f>IF(AND('Mapa final'!$H$14="Alta",'Mapa final'!$L$14="Moderado"),CONCATENATE("R",'Mapa final'!$A$14),"")</f>
        <v/>
      </c>
      <c r="Y16" s="270"/>
      <c r="Z16" s="270" t="str">
        <f>IF(AND('Mapa final'!$H$15="Alta",'Mapa final'!$L$15="Moderado"),CONCATENATE("R",'Mapa final'!$A$15),"")</f>
        <v/>
      </c>
      <c r="AA16" s="271"/>
      <c r="AB16" s="275" t="str">
        <f>IF(AND('Mapa final'!$H$13="Alta",'Mapa final'!$L$13="Mayor"),CONCATENATE("R",'Mapa final'!$A$13),"")</f>
        <v>R4</v>
      </c>
      <c r="AC16" s="272"/>
      <c r="AD16" s="270" t="str">
        <f>IF(AND('Mapa final'!$H$14="Alta",'Mapa final'!$L$14="Mayor"),CONCATENATE("R",'Mapa final'!$A$14),"")</f>
        <v>R5</v>
      </c>
      <c r="AE16" s="270"/>
      <c r="AF16" s="270" t="str">
        <f>IF(AND('Mapa final'!$H$15="Alta",'Mapa final'!$L$15="Mayor"),CONCATENATE("R",'Mapa final'!$A$15),"")</f>
        <v/>
      </c>
      <c r="AG16" s="271"/>
      <c r="AH16" s="283" t="str">
        <f>IF(AND('Mapa final'!$H$13="Alta",'Mapa final'!$L$13="Catastrófico"),CONCATENATE("R",'Mapa final'!$A$13),"")</f>
        <v/>
      </c>
      <c r="AI16" s="284"/>
      <c r="AJ16" s="284" t="str">
        <f>IF(AND('Mapa final'!$H$14="Alta",'Mapa final'!$L$14="Catastrófico"),CONCATENATE("R",'Mapa final'!$A$14),"")</f>
        <v/>
      </c>
      <c r="AK16" s="284"/>
      <c r="AL16" s="284" t="str">
        <f>IF(AND('Mapa final'!$H$15="Alta",'Mapa final'!$L$15="Catastrófico"),CONCATENATE("R",'Mapa final'!$A$15),"")</f>
        <v/>
      </c>
      <c r="AM16" s="285"/>
      <c r="AN16" s="84"/>
      <c r="AO16" s="237"/>
      <c r="AP16" s="238"/>
      <c r="AQ16" s="238"/>
      <c r="AR16" s="238"/>
      <c r="AS16" s="238"/>
      <c r="AT16" s="23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223"/>
      <c r="C17" s="223"/>
      <c r="D17" s="224"/>
      <c r="E17" s="264"/>
      <c r="F17" s="265"/>
      <c r="G17" s="265"/>
      <c r="H17" s="265"/>
      <c r="I17" s="278"/>
      <c r="J17" s="292"/>
      <c r="K17" s="293"/>
      <c r="L17" s="293"/>
      <c r="M17" s="293"/>
      <c r="N17" s="293"/>
      <c r="O17" s="294"/>
      <c r="P17" s="292"/>
      <c r="Q17" s="293"/>
      <c r="R17" s="293"/>
      <c r="S17" s="293"/>
      <c r="T17" s="293"/>
      <c r="U17" s="294"/>
      <c r="V17" s="275"/>
      <c r="W17" s="272"/>
      <c r="X17" s="270"/>
      <c r="Y17" s="270"/>
      <c r="Z17" s="270"/>
      <c r="AA17" s="271"/>
      <c r="AB17" s="275"/>
      <c r="AC17" s="272"/>
      <c r="AD17" s="270"/>
      <c r="AE17" s="270"/>
      <c r="AF17" s="270"/>
      <c r="AG17" s="271"/>
      <c r="AH17" s="283"/>
      <c r="AI17" s="284"/>
      <c r="AJ17" s="284"/>
      <c r="AK17" s="284"/>
      <c r="AL17" s="284"/>
      <c r="AM17" s="285"/>
      <c r="AN17" s="84"/>
      <c r="AO17" s="237"/>
      <c r="AP17" s="238"/>
      <c r="AQ17" s="238"/>
      <c r="AR17" s="238"/>
      <c r="AS17" s="238"/>
      <c r="AT17" s="23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223"/>
      <c r="C18" s="223"/>
      <c r="D18" s="224"/>
      <c r="E18" s="264"/>
      <c r="F18" s="265"/>
      <c r="G18" s="265"/>
      <c r="H18" s="265"/>
      <c r="I18" s="278"/>
      <c r="J18" s="292" t="str">
        <f>IF(AND('Mapa final'!$H$16="Alta",'Mapa final'!$L$16="Leve"),CONCATENATE("R",'Mapa final'!$A$16),"")</f>
        <v/>
      </c>
      <c r="K18" s="293"/>
      <c r="L18" s="293" t="e">
        <f>IF(AND('Mapa final'!#REF!="Alta",'Mapa final'!#REF!="Leve"),CONCATENATE("R",'Mapa final'!#REF!),"")</f>
        <v>#REF!</v>
      </c>
      <c r="M18" s="293"/>
      <c r="N18" s="293" t="e">
        <f>IF(AND('Mapa final'!#REF!="Alta",'Mapa final'!#REF!="Leve"),CONCATENATE("R",'Mapa final'!#REF!),"")</f>
        <v>#REF!</v>
      </c>
      <c r="O18" s="294"/>
      <c r="P18" s="292" t="str">
        <f>IF(AND('Mapa final'!$H$16="Alta",'Mapa final'!$L$16="Menor"),CONCATENATE("R",'Mapa final'!$A$16),"")</f>
        <v/>
      </c>
      <c r="Q18" s="293"/>
      <c r="R18" s="293" t="e">
        <f>IF(AND('Mapa final'!#REF!="Alta",'Mapa final'!#REF!="Menor"),CONCATENATE("R",'Mapa final'!#REF!),"")</f>
        <v>#REF!</v>
      </c>
      <c r="S18" s="293"/>
      <c r="T18" s="293" t="e">
        <f>IF(AND('Mapa final'!#REF!="Alta",'Mapa final'!#REF!="Menor"),CONCATENATE("R",'Mapa final'!#REF!),"")</f>
        <v>#REF!</v>
      </c>
      <c r="U18" s="294"/>
      <c r="V18" s="275" t="str">
        <f>IF(AND('Mapa final'!$H$16="Alta",'Mapa final'!$L$16="Moderado"),CONCATENATE("R",'Mapa final'!$A$16),"")</f>
        <v/>
      </c>
      <c r="W18" s="272"/>
      <c r="X18" s="270" t="e">
        <f>IF(AND('Mapa final'!#REF!="Alta",'Mapa final'!#REF!="Moderado"),CONCATENATE("R",'Mapa final'!#REF!),"")</f>
        <v>#REF!</v>
      </c>
      <c r="Y18" s="270"/>
      <c r="Z18" s="270" t="e">
        <f>IF(AND('Mapa final'!#REF!="Alta",'Mapa final'!#REF!="Moderado"),CONCATENATE("R",'Mapa final'!#REF!),"")</f>
        <v>#REF!</v>
      </c>
      <c r="AA18" s="271"/>
      <c r="AB18" s="275" t="str">
        <f>IF(AND('Mapa final'!$H$16="Alta",'Mapa final'!$L$16="Mayor"),CONCATENATE("R",'Mapa final'!$A$16),"")</f>
        <v/>
      </c>
      <c r="AC18" s="272"/>
      <c r="AD18" s="270" t="e">
        <f>IF(AND('Mapa final'!#REF!="Alta",'Mapa final'!#REF!="Mayor"),CONCATENATE("R",'Mapa final'!#REF!),"")</f>
        <v>#REF!</v>
      </c>
      <c r="AE18" s="270"/>
      <c r="AF18" s="270" t="e">
        <f>IF(AND('Mapa final'!#REF!="Alta",'Mapa final'!#REF!="Mayor"),CONCATENATE("R",'Mapa final'!#REF!),"")</f>
        <v>#REF!</v>
      </c>
      <c r="AG18" s="271"/>
      <c r="AH18" s="283" t="str">
        <f>IF(AND('Mapa final'!$H$16="Alta",'Mapa final'!$L$16="Catastrófico"),CONCATENATE("R",'Mapa final'!$A$16),"")</f>
        <v/>
      </c>
      <c r="AI18" s="284"/>
      <c r="AJ18" s="284" t="e">
        <f>IF(AND('Mapa final'!#REF!="Alta",'Mapa final'!#REF!="Catastrófico"),CONCATENATE("R",'Mapa final'!#REF!),"")</f>
        <v>#REF!</v>
      </c>
      <c r="AK18" s="284"/>
      <c r="AL18" s="284" t="e">
        <f>IF(AND('Mapa final'!#REF!="Alta",'Mapa final'!#REF!="Catastrófico"),CONCATENATE("R",'Mapa final'!#REF!),"")</f>
        <v>#REF!</v>
      </c>
      <c r="AM18" s="285"/>
      <c r="AN18" s="84"/>
      <c r="AO18" s="237"/>
      <c r="AP18" s="238"/>
      <c r="AQ18" s="238"/>
      <c r="AR18" s="238"/>
      <c r="AS18" s="238"/>
      <c r="AT18" s="23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223"/>
      <c r="C19" s="223"/>
      <c r="D19" s="224"/>
      <c r="E19" s="264"/>
      <c r="F19" s="265"/>
      <c r="G19" s="265"/>
      <c r="H19" s="265"/>
      <c r="I19" s="278"/>
      <c r="J19" s="292"/>
      <c r="K19" s="293"/>
      <c r="L19" s="293"/>
      <c r="M19" s="293"/>
      <c r="N19" s="293"/>
      <c r="O19" s="294"/>
      <c r="P19" s="292"/>
      <c r="Q19" s="293"/>
      <c r="R19" s="293"/>
      <c r="S19" s="293"/>
      <c r="T19" s="293"/>
      <c r="U19" s="294"/>
      <c r="V19" s="275"/>
      <c r="W19" s="272"/>
      <c r="X19" s="270"/>
      <c r="Y19" s="270"/>
      <c r="Z19" s="270"/>
      <c r="AA19" s="271"/>
      <c r="AB19" s="275"/>
      <c r="AC19" s="272"/>
      <c r="AD19" s="270"/>
      <c r="AE19" s="270"/>
      <c r="AF19" s="270"/>
      <c r="AG19" s="271"/>
      <c r="AH19" s="283"/>
      <c r="AI19" s="284"/>
      <c r="AJ19" s="284"/>
      <c r="AK19" s="284"/>
      <c r="AL19" s="284"/>
      <c r="AM19" s="285"/>
      <c r="AN19" s="84"/>
      <c r="AO19" s="237"/>
      <c r="AP19" s="238"/>
      <c r="AQ19" s="238"/>
      <c r="AR19" s="238"/>
      <c r="AS19" s="238"/>
      <c r="AT19" s="23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223"/>
      <c r="C20" s="223"/>
      <c r="D20" s="224"/>
      <c r="E20" s="264"/>
      <c r="F20" s="265"/>
      <c r="G20" s="265"/>
      <c r="H20" s="265"/>
      <c r="I20" s="278"/>
      <c r="J20" s="292" t="e">
        <f>IF(AND('Mapa final'!#REF!="Alta",'Mapa final'!#REF!="Leve"),CONCATENATE("R",'Mapa final'!#REF!),"")</f>
        <v>#REF!</v>
      </c>
      <c r="K20" s="293"/>
      <c r="L20" s="293" t="str">
        <f>IF(AND('Mapa final'!$H$17="Alta",'Mapa final'!$L$17="Leve"),CONCATENATE("R",'Mapa final'!$A$17),"")</f>
        <v/>
      </c>
      <c r="M20" s="293"/>
      <c r="N20" s="293" t="str">
        <f>IF(AND('Mapa final'!$H$23="Alta",'Mapa final'!$L$23="Leve"),CONCATENATE("R",'Mapa final'!$A$23),"")</f>
        <v/>
      </c>
      <c r="O20" s="294"/>
      <c r="P20" s="292" t="e">
        <f>IF(AND('Mapa final'!#REF!="Alta",'Mapa final'!#REF!="Menor"),CONCATENATE("R",'Mapa final'!#REF!),"")</f>
        <v>#REF!</v>
      </c>
      <c r="Q20" s="293"/>
      <c r="R20" s="293" t="str">
        <f>IF(AND('Mapa final'!$H$17="Alta",'Mapa final'!$L$17="Menor"),CONCATENATE("R",'Mapa final'!$A$17),"")</f>
        <v/>
      </c>
      <c r="S20" s="293"/>
      <c r="T20" s="293" t="str">
        <f>IF(AND('Mapa final'!$H$23="Alta",'Mapa final'!$L$23="Menor"),CONCATENATE("R",'Mapa final'!$A$23),"")</f>
        <v/>
      </c>
      <c r="U20" s="294"/>
      <c r="V20" s="275" t="e">
        <f>IF(AND('Mapa final'!#REF!="Alta",'Mapa final'!#REF!="Moderado"),CONCATENATE("R",'Mapa final'!#REF!),"")</f>
        <v>#REF!</v>
      </c>
      <c r="W20" s="272"/>
      <c r="X20" s="270" t="str">
        <f>IF(AND('Mapa final'!$H$17="Alta",'Mapa final'!$L$17="Moderado"),CONCATENATE("R",'Mapa final'!$A$17),"")</f>
        <v/>
      </c>
      <c r="Y20" s="270"/>
      <c r="Z20" s="270" t="str">
        <f>IF(AND('Mapa final'!$H$23="Alta",'Mapa final'!$L$23="Moderado"),CONCATENATE("R",'Mapa final'!$A$23),"")</f>
        <v/>
      </c>
      <c r="AA20" s="271"/>
      <c r="AB20" s="275" t="e">
        <f>IF(AND('Mapa final'!#REF!="Alta",'Mapa final'!#REF!="Mayor"),CONCATENATE("R",'Mapa final'!#REF!),"")</f>
        <v>#REF!</v>
      </c>
      <c r="AC20" s="272"/>
      <c r="AD20" s="270" t="str">
        <f>IF(AND('Mapa final'!$H$17="Alta",'Mapa final'!$L$17="Mayor"),CONCATENATE("R",'Mapa final'!$A$17),"")</f>
        <v/>
      </c>
      <c r="AE20" s="270"/>
      <c r="AF20" s="270" t="str">
        <f>IF(AND('Mapa final'!$H$23="Alta",'Mapa final'!$L$23="Mayor"),CONCATENATE("R",'Mapa final'!$A$23),"")</f>
        <v/>
      </c>
      <c r="AG20" s="271"/>
      <c r="AH20" s="283" t="e">
        <f>IF(AND('Mapa final'!#REF!="Alta",'Mapa final'!#REF!="Catastrófico"),CONCATENATE("R",'Mapa final'!#REF!),"")</f>
        <v>#REF!</v>
      </c>
      <c r="AI20" s="284"/>
      <c r="AJ20" s="284" t="str">
        <f>IF(AND('Mapa final'!$H$17="Alta",'Mapa final'!$L$17="Catastrófico"),CONCATENATE("R",'Mapa final'!$A$17),"")</f>
        <v/>
      </c>
      <c r="AK20" s="284"/>
      <c r="AL20" s="284" t="str">
        <f>IF(AND('Mapa final'!$H$23="Alta",'Mapa final'!$L$23="Catastrófico"),CONCATENATE("R",'Mapa final'!$A$23),"")</f>
        <v/>
      </c>
      <c r="AM20" s="285"/>
      <c r="AN20" s="84"/>
      <c r="AO20" s="237"/>
      <c r="AP20" s="238"/>
      <c r="AQ20" s="238"/>
      <c r="AR20" s="238"/>
      <c r="AS20" s="238"/>
      <c r="AT20" s="23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223"/>
      <c r="C21" s="223"/>
      <c r="D21" s="224"/>
      <c r="E21" s="267"/>
      <c r="F21" s="268"/>
      <c r="G21" s="268"/>
      <c r="H21" s="268"/>
      <c r="I21" s="268"/>
      <c r="J21" s="295"/>
      <c r="K21" s="296"/>
      <c r="L21" s="296"/>
      <c r="M21" s="296"/>
      <c r="N21" s="296"/>
      <c r="O21" s="297"/>
      <c r="P21" s="295"/>
      <c r="Q21" s="296"/>
      <c r="R21" s="296"/>
      <c r="S21" s="296"/>
      <c r="T21" s="296"/>
      <c r="U21" s="297"/>
      <c r="V21" s="280"/>
      <c r="W21" s="281"/>
      <c r="X21" s="281"/>
      <c r="Y21" s="281"/>
      <c r="Z21" s="281"/>
      <c r="AA21" s="282"/>
      <c r="AB21" s="280"/>
      <c r="AC21" s="281"/>
      <c r="AD21" s="281"/>
      <c r="AE21" s="281"/>
      <c r="AF21" s="281"/>
      <c r="AG21" s="282"/>
      <c r="AH21" s="286"/>
      <c r="AI21" s="287"/>
      <c r="AJ21" s="287"/>
      <c r="AK21" s="287"/>
      <c r="AL21" s="287"/>
      <c r="AM21" s="288"/>
      <c r="AN21" s="84"/>
      <c r="AO21" s="240"/>
      <c r="AP21" s="241"/>
      <c r="AQ21" s="241"/>
      <c r="AR21" s="241"/>
      <c r="AS21" s="241"/>
      <c r="AT21" s="24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223"/>
      <c r="C22" s="223"/>
      <c r="D22" s="224"/>
      <c r="E22" s="261" t="s">
        <v>117</v>
      </c>
      <c r="F22" s="262"/>
      <c r="G22" s="262"/>
      <c r="H22" s="262"/>
      <c r="I22" s="263"/>
      <c r="J22" s="298" t="str">
        <f>IF(AND('Mapa final'!$H$10="Media",'Mapa final'!$L$10="Leve"),CONCATENATE("R",'Mapa final'!$A$10),"")</f>
        <v/>
      </c>
      <c r="K22" s="299"/>
      <c r="L22" s="299" t="str">
        <f>IF(AND('Mapa final'!$H$11="Media",'Mapa final'!$L$11="Leve"),CONCATENATE("R",'Mapa final'!$A$11),"")</f>
        <v/>
      </c>
      <c r="M22" s="299"/>
      <c r="N22" s="299" t="str">
        <f>IF(AND('Mapa final'!$H$12="Media",'Mapa final'!$L$12="Leve"),CONCATENATE("R",'Mapa final'!$A$12),"")</f>
        <v/>
      </c>
      <c r="O22" s="300"/>
      <c r="P22" s="298" t="str">
        <f>IF(AND('Mapa final'!$H$10="Media",'Mapa final'!$L$10="Menor"),CONCATENATE("R",'Mapa final'!$A$10),"")</f>
        <v/>
      </c>
      <c r="Q22" s="299"/>
      <c r="R22" s="299" t="str">
        <f>IF(AND('Mapa final'!$H$11="Media",'Mapa final'!$L$11="Menor"),CONCATENATE("R",'Mapa final'!$A$11),"")</f>
        <v/>
      </c>
      <c r="S22" s="299"/>
      <c r="T22" s="299" t="str">
        <f>IF(AND('Mapa final'!$H$12="Media",'Mapa final'!$L$12="Menor"),CONCATENATE("R",'Mapa final'!$A$12),"")</f>
        <v/>
      </c>
      <c r="U22" s="300"/>
      <c r="V22" s="298" t="str">
        <f>IF(AND('Mapa final'!$H$10="Media",'Mapa final'!$L$10="Moderado"),CONCATENATE("R",'Mapa final'!$A$10),"")</f>
        <v/>
      </c>
      <c r="W22" s="299"/>
      <c r="X22" s="299" t="str">
        <f>IF(AND('Mapa final'!$H$11="Media",'Mapa final'!$L$11="Moderado"),CONCATENATE("R",'Mapa final'!$A$11),"")</f>
        <v>R2</v>
      </c>
      <c r="Y22" s="299"/>
      <c r="Z22" s="299" t="str">
        <f>IF(AND('Mapa final'!$H$12="Media",'Mapa final'!$L$12="Moderado"),CONCATENATE("R",'Mapa final'!$A$12),"")</f>
        <v/>
      </c>
      <c r="AA22" s="300"/>
      <c r="AB22" s="273" t="str">
        <f>IF(AND('Mapa final'!$H$10="Media",'Mapa final'!$L$10="Mayor"),CONCATENATE("R",'Mapa final'!$A$10),"")</f>
        <v>R1</v>
      </c>
      <c r="AC22" s="274"/>
      <c r="AD22" s="274" t="str">
        <f>IF(AND('Mapa final'!$H$11="Media",'Mapa final'!$L$11="Mayor"),CONCATENATE("R",'Mapa final'!$A$11),"")</f>
        <v/>
      </c>
      <c r="AE22" s="274"/>
      <c r="AF22" s="274" t="str">
        <f>IF(AND('Mapa final'!$H$12="Media",'Mapa final'!$L$12="Mayor"),CONCATENATE("R",'Mapa final'!$A$12),"")</f>
        <v/>
      </c>
      <c r="AG22" s="276"/>
      <c r="AH22" s="289" t="str">
        <f>IF(AND('Mapa final'!$H$10="Media",'Mapa final'!$L$10="Catastrófico"),CONCATENATE("R",'Mapa final'!$A$10),"")</f>
        <v/>
      </c>
      <c r="AI22" s="290"/>
      <c r="AJ22" s="290" t="str">
        <f>IF(AND('Mapa final'!$H$11="Media",'Mapa final'!$L$11="Catastrófico"),CONCATENATE("R",'Mapa final'!$A$11),"")</f>
        <v/>
      </c>
      <c r="AK22" s="290"/>
      <c r="AL22" s="290" t="str">
        <f>IF(AND('Mapa final'!$H$12="Media",'Mapa final'!$L$12="Catastrófico"),CONCATENATE("R",'Mapa final'!$A$12),"")</f>
        <v/>
      </c>
      <c r="AM22" s="291"/>
      <c r="AN22" s="84"/>
      <c r="AO22" s="243" t="s">
        <v>81</v>
      </c>
      <c r="AP22" s="244"/>
      <c r="AQ22" s="244"/>
      <c r="AR22" s="244"/>
      <c r="AS22" s="244"/>
      <c r="AT22" s="24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223"/>
      <c r="C23" s="223"/>
      <c r="D23" s="224"/>
      <c r="E23" s="264"/>
      <c r="F23" s="265"/>
      <c r="G23" s="265"/>
      <c r="H23" s="265"/>
      <c r="I23" s="266"/>
      <c r="J23" s="292"/>
      <c r="K23" s="293"/>
      <c r="L23" s="293"/>
      <c r="M23" s="293"/>
      <c r="N23" s="293"/>
      <c r="O23" s="294"/>
      <c r="P23" s="292"/>
      <c r="Q23" s="293"/>
      <c r="R23" s="293"/>
      <c r="S23" s="293"/>
      <c r="T23" s="293"/>
      <c r="U23" s="294"/>
      <c r="V23" s="292"/>
      <c r="W23" s="293"/>
      <c r="X23" s="293"/>
      <c r="Y23" s="293"/>
      <c r="Z23" s="293"/>
      <c r="AA23" s="294"/>
      <c r="AB23" s="275"/>
      <c r="AC23" s="272"/>
      <c r="AD23" s="272"/>
      <c r="AE23" s="272"/>
      <c r="AF23" s="272"/>
      <c r="AG23" s="271"/>
      <c r="AH23" s="283"/>
      <c r="AI23" s="284"/>
      <c r="AJ23" s="284"/>
      <c r="AK23" s="284"/>
      <c r="AL23" s="284"/>
      <c r="AM23" s="285"/>
      <c r="AN23" s="84"/>
      <c r="AO23" s="246"/>
      <c r="AP23" s="247"/>
      <c r="AQ23" s="247"/>
      <c r="AR23" s="247"/>
      <c r="AS23" s="247"/>
      <c r="AT23" s="24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223"/>
      <c r="C24" s="223"/>
      <c r="D24" s="224"/>
      <c r="E24" s="264"/>
      <c r="F24" s="265"/>
      <c r="G24" s="265"/>
      <c r="H24" s="265"/>
      <c r="I24" s="266"/>
      <c r="J24" s="292" t="str">
        <f>IF(AND('Mapa final'!$H$13="Media",'Mapa final'!$L$13="Leve"),CONCATENATE("R",'Mapa final'!$A$13),"")</f>
        <v/>
      </c>
      <c r="K24" s="293"/>
      <c r="L24" s="293" t="str">
        <f>IF(AND('Mapa final'!$H$14="Media",'Mapa final'!$L$14="Leve"),CONCATENATE("R",'Mapa final'!$A$14),"")</f>
        <v/>
      </c>
      <c r="M24" s="293"/>
      <c r="N24" s="293" t="str">
        <f>IF(AND('Mapa final'!$H$15="Media",'Mapa final'!$L$15="Leve"),CONCATENATE("R",'Mapa final'!$A$15),"")</f>
        <v/>
      </c>
      <c r="O24" s="294"/>
      <c r="P24" s="292" t="str">
        <f>IF(AND('Mapa final'!$H$13="Media",'Mapa final'!$L$13="Menor"),CONCATENATE("R",'Mapa final'!$A$13),"")</f>
        <v/>
      </c>
      <c r="Q24" s="293"/>
      <c r="R24" s="293" t="str">
        <f>IF(AND('Mapa final'!$H$14="Media",'Mapa final'!$L$14="Menor"),CONCATENATE("R",'Mapa final'!$A$14),"")</f>
        <v/>
      </c>
      <c r="S24" s="293"/>
      <c r="T24" s="293" t="str">
        <f>IF(AND('Mapa final'!$H$15="Media",'Mapa final'!$L$15="Menor"),CONCATENATE("R",'Mapa final'!$A$15),"")</f>
        <v/>
      </c>
      <c r="U24" s="294"/>
      <c r="V24" s="292" t="str">
        <f>IF(AND('Mapa final'!$H$13="Media",'Mapa final'!$L$13="Moderado"),CONCATENATE("R",'Mapa final'!$A$13),"")</f>
        <v/>
      </c>
      <c r="W24" s="293"/>
      <c r="X24" s="293" t="str">
        <f>IF(AND('Mapa final'!$H$14="Media",'Mapa final'!$L$14="Moderado"),CONCATENATE("R",'Mapa final'!$A$14),"")</f>
        <v/>
      </c>
      <c r="Y24" s="293"/>
      <c r="Z24" s="293" t="str">
        <f>IF(AND('Mapa final'!$H$15="Media",'Mapa final'!$L$15="Moderado"),CONCATENATE("R",'Mapa final'!$A$15),"")</f>
        <v/>
      </c>
      <c r="AA24" s="294"/>
      <c r="AB24" s="275" t="str">
        <f>IF(AND('Mapa final'!$H$13="Media",'Mapa final'!$L$13="Mayor"),CONCATENATE("R",'Mapa final'!$A$13),"")</f>
        <v/>
      </c>
      <c r="AC24" s="272"/>
      <c r="AD24" s="270" t="str">
        <f>IF(AND('Mapa final'!$H$14="Media",'Mapa final'!$L$14="Mayor"),CONCATENATE("R",'Mapa final'!$A$14),"")</f>
        <v/>
      </c>
      <c r="AE24" s="270"/>
      <c r="AF24" s="270" t="str">
        <f>IF(AND('Mapa final'!$H$15="Media",'Mapa final'!$L$15="Mayor"),CONCATENATE("R",'Mapa final'!$A$15),"")</f>
        <v/>
      </c>
      <c r="AG24" s="271"/>
      <c r="AH24" s="283" t="str">
        <f>IF(AND('Mapa final'!$H$13="Media",'Mapa final'!$L$13="Catastrófico"),CONCATENATE("R",'Mapa final'!$A$13),"")</f>
        <v/>
      </c>
      <c r="AI24" s="284"/>
      <c r="AJ24" s="284" t="str">
        <f>IF(AND('Mapa final'!$H$14="Media",'Mapa final'!$L$14="Catastrófico"),CONCATENATE("R",'Mapa final'!$A$14),"")</f>
        <v/>
      </c>
      <c r="AK24" s="284"/>
      <c r="AL24" s="284" t="str">
        <f>IF(AND('Mapa final'!$H$15="Media",'Mapa final'!$L$15="Catastrófico"),CONCATENATE("R",'Mapa final'!$A$15),"")</f>
        <v/>
      </c>
      <c r="AM24" s="285"/>
      <c r="AN24" s="84"/>
      <c r="AO24" s="246"/>
      <c r="AP24" s="247"/>
      <c r="AQ24" s="247"/>
      <c r="AR24" s="247"/>
      <c r="AS24" s="247"/>
      <c r="AT24" s="24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223"/>
      <c r="C25" s="223"/>
      <c r="D25" s="224"/>
      <c r="E25" s="264"/>
      <c r="F25" s="265"/>
      <c r="G25" s="265"/>
      <c r="H25" s="265"/>
      <c r="I25" s="266"/>
      <c r="J25" s="292"/>
      <c r="K25" s="293"/>
      <c r="L25" s="293"/>
      <c r="M25" s="293"/>
      <c r="N25" s="293"/>
      <c r="O25" s="294"/>
      <c r="P25" s="292"/>
      <c r="Q25" s="293"/>
      <c r="R25" s="293"/>
      <c r="S25" s="293"/>
      <c r="T25" s="293"/>
      <c r="U25" s="294"/>
      <c r="V25" s="292"/>
      <c r="W25" s="293"/>
      <c r="X25" s="293"/>
      <c r="Y25" s="293"/>
      <c r="Z25" s="293"/>
      <c r="AA25" s="294"/>
      <c r="AB25" s="275"/>
      <c r="AC25" s="272"/>
      <c r="AD25" s="270"/>
      <c r="AE25" s="270"/>
      <c r="AF25" s="270"/>
      <c r="AG25" s="271"/>
      <c r="AH25" s="283"/>
      <c r="AI25" s="284"/>
      <c r="AJ25" s="284"/>
      <c r="AK25" s="284"/>
      <c r="AL25" s="284"/>
      <c r="AM25" s="285"/>
      <c r="AN25" s="84"/>
      <c r="AO25" s="246"/>
      <c r="AP25" s="247"/>
      <c r="AQ25" s="247"/>
      <c r="AR25" s="247"/>
      <c r="AS25" s="247"/>
      <c r="AT25" s="24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223"/>
      <c r="C26" s="223"/>
      <c r="D26" s="224"/>
      <c r="E26" s="264"/>
      <c r="F26" s="265"/>
      <c r="G26" s="265"/>
      <c r="H26" s="265"/>
      <c r="I26" s="266"/>
      <c r="J26" s="292" t="str">
        <f>IF(AND('Mapa final'!$H$16="Media",'Mapa final'!$L$16="Leve"),CONCATENATE("R",'Mapa final'!$A$16),"")</f>
        <v/>
      </c>
      <c r="K26" s="293"/>
      <c r="L26" s="293" t="e">
        <f>IF(AND('Mapa final'!#REF!="Media",'Mapa final'!#REF!="Leve"),CONCATENATE("R",'Mapa final'!#REF!),"")</f>
        <v>#REF!</v>
      </c>
      <c r="M26" s="293"/>
      <c r="N26" s="293" t="e">
        <f>IF(AND('Mapa final'!#REF!="Media",'Mapa final'!#REF!="Leve"),CONCATENATE("R",'Mapa final'!#REF!),"")</f>
        <v>#REF!</v>
      </c>
      <c r="O26" s="294"/>
      <c r="P26" s="292" t="str">
        <f>IF(AND('Mapa final'!$H$16="Media",'Mapa final'!$L$16="Menor"),CONCATENATE("R",'Mapa final'!$A$16),"")</f>
        <v/>
      </c>
      <c r="Q26" s="293"/>
      <c r="R26" s="293" t="e">
        <f>IF(AND('Mapa final'!#REF!="Media",'Mapa final'!#REF!="Menor"),CONCATENATE("R",'Mapa final'!#REF!),"")</f>
        <v>#REF!</v>
      </c>
      <c r="S26" s="293"/>
      <c r="T26" s="293" t="e">
        <f>IF(AND('Mapa final'!#REF!="Media",'Mapa final'!#REF!="Menor"),CONCATENATE("R",'Mapa final'!#REF!),"")</f>
        <v>#REF!</v>
      </c>
      <c r="U26" s="294"/>
      <c r="V26" s="292" t="str">
        <f>IF(AND('Mapa final'!$H$16="Media",'Mapa final'!$L$16="Moderado"),CONCATENATE("R",'Mapa final'!$A$16),"")</f>
        <v>R7</v>
      </c>
      <c r="W26" s="293"/>
      <c r="X26" s="293" t="e">
        <f>IF(AND('Mapa final'!#REF!="Media",'Mapa final'!#REF!="Moderado"),CONCATENATE("R",'Mapa final'!#REF!),"")</f>
        <v>#REF!</v>
      </c>
      <c r="Y26" s="293"/>
      <c r="Z26" s="293" t="e">
        <f>IF(AND('Mapa final'!#REF!="Media",'Mapa final'!#REF!="Moderado"),CONCATENATE("R",'Mapa final'!#REF!),"")</f>
        <v>#REF!</v>
      </c>
      <c r="AA26" s="294"/>
      <c r="AB26" s="275" t="str">
        <f>IF(AND('Mapa final'!$H$16="Media",'Mapa final'!$L$16="Mayor"),CONCATENATE("R",'Mapa final'!$A$16),"")</f>
        <v/>
      </c>
      <c r="AC26" s="272"/>
      <c r="AD26" s="270" t="e">
        <f>IF(AND('Mapa final'!#REF!="Media",'Mapa final'!#REF!="Mayor"),CONCATENATE("R",'Mapa final'!#REF!),"")</f>
        <v>#REF!</v>
      </c>
      <c r="AE26" s="270"/>
      <c r="AF26" s="270" t="e">
        <f>IF(AND('Mapa final'!#REF!="Media",'Mapa final'!#REF!="Mayor"),CONCATENATE("R",'Mapa final'!#REF!),"")</f>
        <v>#REF!</v>
      </c>
      <c r="AG26" s="271"/>
      <c r="AH26" s="283" t="str">
        <f>IF(AND('Mapa final'!$H$16="Media",'Mapa final'!$L$16="Catastrófico"),CONCATENATE("R",'Mapa final'!$A$16),"")</f>
        <v/>
      </c>
      <c r="AI26" s="284"/>
      <c r="AJ26" s="284" t="e">
        <f>IF(AND('Mapa final'!#REF!="Media",'Mapa final'!#REF!="Catastrófico"),CONCATENATE("R",'Mapa final'!#REF!),"")</f>
        <v>#REF!</v>
      </c>
      <c r="AK26" s="284"/>
      <c r="AL26" s="284" t="e">
        <f>IF(AND('Mapa final'!#REF!="Media",'Mapa final'!#REF!="Catastrófico"),CONCATENATE("R",'Mapa final'!#REF!),"")</f>
        <v>#REF!</v>
      </c>
      <c r="AM26" s="285"/>
      <c r="AN26" s="84"/>
      <c r="AO26" s="246"/>
      <c r="AP26" s="247"/>
      <c r="AQ26" s="247"/>
      <c r="AR26" s="247"/>
      <c r="AS26" s="247"/>
      <c r="AT26" s="24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223"/>
      <c r="C27" s="223"/>
      <c r="D27" s="224"/>
      <c r="E27" s="264"/>
      <c r="F27" s="265"/>
      <c r="G27" s="265"/>
      <c r="H27" s="265"/>
      <c r="I27" s="266"/>
      <c r="J27" s="292"/>
      <c r="K27" s="293"/>
      <c r="L27" s="293"/>
      <c r="M27" s="293"/>
      <c r="N27" s="293"/>
      <c r="O27" s="294"/>
      <c r="P27" s="292"/>
      <c r="Q27" s="293"/>
      <c r="R27" s="293"/>
      <c r="S27" s="293"/>
      <c r="T27" s="293"/>
      <c r="U27" s="294"/>
      <c r="V27" s="292"/>
      <c r="W27" s="293"/>
      <c r="X27" s="293"/>
      <c r="Y27" s="293"/>
      <c r="Z27" s="293"/>
      <c r="AA27" s="294"/>
      <c r="AB27" s="275"/>
      <c r="AC27" s="272"/>
      <c r="AD27" s="270"/>
      <c r="AE27" s="270"/>
      <c r="AF27" s="270"/>
      <c r="AG27" s="271"/>
      <c r="AH27" s="283"/>
      <c r="AI27" s="284"/>
      <c r="AJ27" s="284"/>
      <c r="AK27" s="284"/>
      <c r="AL27" s="284"/>
      <c r="AM27" s="285"/>
      <c r="AN27" s="84"/>
      <c r="AO27" s="246"/>
      <c r="AP27" s="247"/>
      <c r="AQ27" s="247"/>
      <c r="AR27" s="247"/>
      <c r="AS27" s="247"/>
      <c r="AT27" s="248"/>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223"/>
      <c r="C28" s="223"/>
      <c r="D28" s="224"/>
      <c r="E28" s="264"/>
      <c r="F28" s="265"/>
      <c r="G28" s="265"/>
      <c r="H28" s="265"/>
      <c r="I28" s="266"/>
      <c r="J28" s="292" t="e">
        <f>IF(AND('Mapa final'!#REF!="Media",'Mapa final'!#REF!="Leve"),CONCATENATE("R",'Mapa final'!#REF!),"")</f>
        <v>#REF!</v>
      </c>
      <c r="K28" s="293"/>
      <c r="L28" s="293" t="str">
        <f>IF(AND('Mapa final'!$H$17="Media",'Mapa final'!$L$17="Leve"),CONCATENATE("R",'Mapa final'!$A$17),"")</f>
        <v/>
      </c>
      <c r="M28" s="293"/>
      <c r="N28" s="293" t="str">
        <f>IF(AND('Mapa final'!$H$23="Media",'Mapa final'!$L$23="Leve"),CONCATENATE("R",'Mapa final'!$A$23),"")</f>
        <v/>
      </c>
      <c r="O28" s="294"/>
      <c r="P28" s="292" t="e">
        <f>IF(AND('Mapa final'!#REF!="Media",'Mapa final'!#REF!="Menor"),CONCATENATE("R",'Mapa final'!#REF!),"")</f>
        <v>#REF!</v>
      </c>
      <c r="Q28" s="293"/>
      <c r="R28" s="293" t="str">
        <f>IF(AND('Mapa final'!$H$17="Media",'Mapa final'!$L$17="Menor"),CONCATENATE("R",'Mapa final'!$A$17),"")</f>
        <v/>
      </c>
      <c r="S28" s="293"/>
      <c r="T28" s="293" t="str">
        <f>IF(AND('Mapa final'!$H$23="Media",'Mapa final'!$L$23="Menor"),CONCATENATE("R",'Mapa final'!$A$23),"")</f>
        <v/>
      </c>
      <c r="U28" s="294"/>
      <c r="V28" s="292" t="e">
        <f>IF(AND('Mapa final'!#REF!="Media",'Mapa final'!#REF!="Moderado"),CONCATENATE("R",'Mapa final'!#REF!),"")</f>
        <v>#REF!</v>
      </c>
      <c r="W28" s="293"/>
      <c r="X28" s="293" t="str">
        <f>IF(AND('Mapa final'!$H$17="Media",'Mapa final'!$L$17="Moderado"),CONCATENATE("R",'Mapa final'!$A$17),"")</f>
        <v/>
      </c>
      <c r="Y28" s="293"/>
      <c r="Z28" s="293" t="str">
        <f>IF(AND('Mapa final'!$H$23="Media",'Mapa final'!$L$23="Moderado"),CONCATENATE("R",'Mapa final'!$A$23),"")</f>
        <v/>
      </c>
      <c r="AA28" s="294"/>
      <c r="AB28" s="275" t="e">
        <f>IF(AND('Mapa final'!#REF!="Media",'Mapa final'!#REF!="Mayor"),CONCATENATE("R",'Mapa final'!#REF!),"")</f>
        <v>#REF!</v>
      </c>
      <c r="AC28" s="272"/>
      <c r="AD28" s="270" t="str">
        <f>IF(AND('Mapa final'!$H$17="Media",'Mapa final'!$L$17="Mayor"),CONCATENATE("R",'Mapa final'!$A$17),"")</f>
        <v/>
      </c>
      <c r="AE28" s="270"/>
      <c r="AF28" s="270" t="str">
        <f>IF(AND('Mapa final'!$H$23="Media",'Mapa final'!$L$23="Mayor"),CONCATENATE("R",'Mapa final'!$A$23),"")</f>
        <v/>
      </c>
      <c r="AG28" s="271"/>
      <c r="AH28" s="283" t="e">
        <f>IF(AND('Mapa final'!#REF!="Media",'Mapa final'!#REF!="Catastrófico"),CONCATENATE("R",'Mapa final'!#REF!),"")</f>
        <v>#REF!</v>
      </c>
      <c r="AI28" s="284"/>
      <c r="AJ28" s="284" t="str">
        <f>IF(AND('Mapa final'!$H$17="Media",'Mapa final'!$L$17="Catastrófico"),CONCATENATE("R",'Mapa final'!$A$17),"")</f>
        <v/>
      </c>
      <c r="AK28" s="284"/>
      <c r="AL28" s="284" t="str">
        <f>IF(AND('Mapa final'!$H$23="Media",'Mapa final'!$L$23="Catastrófico"),CONCATENATE("R",'Mapa final'!$A$23),"")</f>
        <v/>
      </c>
      <c r="AM28" s="285"/>
      <c r="AN28" s="84"/>
      <c r="AO28" s="246"/>
      <c r="AP28" s="247"/>
      <c r="AQ28" s="247"/>
      <c r="AR28" s="247"/>
      <c r="AS28" s="247"/>
      <c r="AT28" s="248"/>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223"/>
      <c r="C29" s="223"/>
      <c r="D29" s="224"/>
      <c r="E29" s="267"/>
      <c r="F29" s="268"/>
      <c r="G29" s="268"/>
      <c r="H29" s="268"/>
      <c r="I29" s="269"/>
      <c r="J29" s="292"/>
      <c r="K29" s="293"/>
      <c r="L29" s="293"/>
      <c r="M29" s="293"/>
      <c r="N29" s="293"/>
      <c r="O29" s="294"/>
      <c r="P29" s="295"/>
      <c r="Q29" s="296"/>
      <c r="R29" s="296"/>
      <c r="S29" s="296"/>
      <c r="T29" s="296"/>
      <c r="U29" s="297"/>
      <c r="V29" s="295"/>
      <c r="W29" s="296"/>
      <c r="X29" s="296"/>
      <c r="Y29" s="296"/>
      <c r="Z29" s="296"/>
      <c r="AA29" s="297"/>
      <c r="AB29" s="280"/>
      <c r="AC29" s="281"/>
      <c r="AD29" s="281"/>
      <c r="AE29" s="281"/>
      <c r="AF29" s="281"/>
      <c r="AG29" s="282"/>
      <c r="AH29" s="286"/>
      <c r="AI29" s="287"/>
      <c r="AJ29" s="287"/>
      <c r="AK29" s="287"/>
      <c r="AL29" s="287"/>
      <c r="AM29" s="288"/>
      <c r="AN29" s="84"/>
      <c r="AO29" s="249"/>
      <c r="AP29" s="250"/>
      <c r="AQ29" s="250"/>
      <c r="AR29" s="250"/>
      <c r="AS29" s="250"/>
      <c r="AT29" s="25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223"/>
      <c r="C30" s="223"/>
      <c r="D30" s="224"/>
      <c r="E30" s="261" t="s">
        <v>114</v>
      </c>
      <c r="F30" s="262"/>
      <c r="G30" s="262"/>
      <c r="H30" s="262"/>
      <c r="I30" s="262"/>
      <c r="J30" s="307" t="str">
        <f>IF(AND('Mapa final'!$H$10="Baja",'Mapa final'!$L$10="Leve"),CONCATENATE("R",'Mapa final'!$A$10),"")</f>
        <v/>
      </c>
      <c r="K30" s="308"/>
      <c r="L30" s="308" t="str">
        <f>IF(AND('Mapa final'!$H$11="Baja",'Mapa final'!$L$11="Leve"),CONCATENATE("R",'Mapa final'!$A$11),"")</f>
        <v/>
      </c>
      <c r="M30" s="308"/>
      <c r="N30" s="308" t="str">
        <f>IF(AND('Mapa final'!$H$12="Baja",'Mapa final'!$L$12="Leve"),CONCATENATE("R",'Mapa final'!$A$12),"")</f>
        <v/>
      </c>
      <c r="O30" s="309"/>
      <c r="P30" s="299" t="str">
        <f>IF(AND('Mapa final'!$H$10="Baja",'Mapa final'!$L$10="Menor"),CONCATENATE("R",'Mapa final'!$A$10),"")</f>
        <v/>
      </c>
      <c r="Q30" s="299"/>
      <c r="R30" s="299" t="str">
        <f>IF(AND('Mapa final'!$H$11="Baja",'Mapa final'!$L$11="Menor"),CONCATENATE("R",'Mapa final'!$A$11),"")</f>
        <v/>
      </c>
      <c r="S30" s="299"/>
      <c r="T30" s="299" t="str">
        <f>IF(AND('Mapa final'!$H$12="Baja",'Mapa final'!$L$12="Menor"),CONCATENATE("R",'Mapa final'!$A$12),"")</f>
        <v/>
      </c>
      <c r="U30" s="300"/>
      <c r="V30" s="298" t="str">
        <f>IF(AND('Mapa final'!$H$10="Baja",'Mapa final'!$L$10="Moderado"),CONCATENATE("R",'Mapa final'!$A$10),"")</f>
        <v/>
      </c>
      <c r="W30" s="299"/>
      <c r="X30" s="299" t="str">
        <f>IF(AND('Mapa final'!$H$11="Baja",'Mapa final'!$L$11="Moderado"),CONCATENATE("R",'Mapa final'!$A$11),"")</f>
        <v/>
      </c>
      <c r="Y30" s="299"/>
      <c r="Z30" s="299" t="str">
        <f>IF(AND('Mapa final'!$H$12="Baja",'Mapa final'!$L$12="Moderado"),CONCATENATE("R",'Mapa final'!$A$12),"")</f>
        <v/>
      </c>
      <c r="AA30" s="300"/>
      <c r="AB30" s="273" t="str">
        <f>IF(AND('Mapa final'!$H$10="Baja",'Mapa final'!$L$10="Mayor"),CONCATENATE("R",'Mapa final'!$A$10),"")</f>
        <v/>
      </c>
      <c r="AC30" s="274"/>
      <c r="AD30" s="274" t="str">
        <f>IF(AND('Mapa final'!$H$11="Baja",'Mapa final'!$L$11="Mayor"),CONCATENATE("R",'Mapa final'!$A$11),"")</f>
        <v/>
      </c>
      <c r="AE30" s="274"/>
      <c r="AF30" s="274" t="str">
        <f>IF(AND('Mapa final'!$H$12="Baja",'Mapa final'!$L$12="Mayor"),CONCATENATE("R",'Mapa final'!$A$12),"")</f>
        <v/>
      </c>
      <c r="AG30" s="276"/>
      <c r="AH30" s="289" t="str">
        <f>IF(AND('Mapa final'!$H$10="Baja",'Mapa final'!$L$10="Catastrófico"),CONCATENATE("R",'Mapa final'!$A$10),"")</f>
        <v/>
      </c>
      <c r="AI30" s="290"/>
      <c r="AJ30" s="290" t="str">
        <f>IF(AND('Mapa final'!$H$11="Baja",'Mapa final'!$L$11="Catastrófico"),CONCATENATE("R",'Mapa final'!$A$11),"")</f>
        <v/>
      </c>
      <c r="AK30" s="290"/>
      <c r="AL30" s="290" t="str">
        <f>IF(AND('Mapa final'!$H$12="Baja",'Mapa final'!$L$12="Catastrófico"),CONCATENATE("R",'Mapa final'!$A$12),"")</f>
        <v/>
      </c>
      <c r="AM30" s="291"/>
      <c r="AN30" s="84"/>
      <c r="AO30" s="252" t="s">
        <v>82</v>
      </c>
      <c r="AP30" s="253"/>
      <c r="AQ30" s="253"/>
      <c r="AR30" s="253"/>
      <c r="AS30" s="253"/>
      <c r="AT30" s="25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223"/>
      <c r="C31" s="223"/>
      <c r="D31" s="224"/>
      <c r="E31" s="264"/>
      <c r="F31" s="265"/>
      <c r="G31" s="265"/>
      <c r="H31" s="265"/>
      <c r="I31" s="278"/>
      <c r="J31" s="303"/>
      <c r="K31" s="301"/>
      <c r="L31" s="301"/>
      <c r="M31" s="301"/>
      <c r="N31" s="301"/>
      <c r="O31" s="302"/>
      <c r="P31" s="293"/>
      <c r="Q31" s="293"/>
      <c r="R31" s="293"/>
      <c r="S31" s="293"/>
      <c r="T31" s="293"/>
      <c r="U31" s="294"/>
      <c r="V31" s="292"/>
      <c r="W31" s="293"/>
      <c r="X31" s="293"/>
      <c r="Y31" s="293"/>
      <c r="Z31" s="293"/>
      <c r="AA31" s="294"/>
      <c r="AB31" s="275"/>
      <c r="AC31" s="272"/>
      <c r="AD31" s="272"/>
      <c r="AE31" s="272"/>
      <c r="AF31" s="272"/>
      <c r="AG31" s="271"/>
      <c r="AH31" s="283"/>
      <c r="AI31" s="284"/>
      <c r="AJ31" s="284"/>
      <c r="AK31" s="284"/>
      <c r="AL31" s="284"/>
      <c r="AM31" s="285"/>
      <c r="AN31" s="84"/>
      <c r="AO31" s="255"/>
      <c r="AP31" s="256"/>
      <c r="AQ31" s="256"/>
      <c r="AR31" s="256"/>
      <c r="AS31" s="256"/>
      <c r="AT31" s="25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223"/>
      <c r="C32" s="223"/>
      <c r="D32" s="224"/>
      <c r="E32" s="264"/>
      <c r="F32" s="265"/>
      <c r="G32" s="265"/>
      <c r="H32" s="265"/>
      <c r="I32" s="278"/>
      <c r="J32" s="303" t="str">
        <f>IF(AND('Mapa final'!$H$13="Baja",'Mapa final'!$L$13="Leve"),CONCATENATE("R",'Mapa final'!$A$13),"")</f>
        <v/>
      </c>
      <c r="K32" s="301"/>
      <c r="L32" s="301" t="str">
        <f>IF(AND('Mapa final'!$H$14="Baja",'Mapa final'!$L$14="Leve"),CONCATENATE("R",'Mapa final'!$A$14),"")</f>
        <v/>
      </c>
      <c r="M32" s="301"/>
      <c r="N32" s="301" t="str">
        <f>IF(AND('Mapa final'!$H$15="Baja",'Mapa final'!$L$15="Leve"),CONCATENATE("R",'Mapa final'!$A$15),"")</f>
        <v/>
      </c>
      <c r="O32" s="302"/>
      <c r="P32" s="293" t="str">
        <f>IF(AND('Mapa final'!$H$13="Baja",'Mapa final'!$L$13="Menor"),CONCATENATE("R",'Mapa final'!$A$13),"")</f>
        <v/>
      </c>
      <c r="Q32" s="293"/>
      <c r="R32" s="293" t="str">
        <f>IF(AND('Mapa final'!$H$14="Baja",'Mapa final'!$L$14="Menor"),CONCATENATE("R",'Mapa final'!$A$14),"")</f>
        <v/>
      </c>
      <c r="S32" s="293"/>
      <c r="T32" s="293" t="str">
        <f>IF(AND('Mapa final'!$H$15="Baja",'Mapa final'!$L$15="Menor"),CONCATENATE("R",'Mapa final'!$A$15),"")</f>
        <v>R6</v>
      </c>
      <c r="U32" s="294"/>
      <c r="V32" s="292" t="str">
        <f>IF(AND('Mapa final'!$H$13="Baja",'Mapa final'!$L$13="Moderado"),CONCATENATE("R",'Mapa final'!$A$13),"")</f>
        <v/>
      </c>
      <c r="W32" s="293"/>
      <c r="X32" s="293" t="str">
        <f>IF(AND('Mapa final'!$H$14="Baja",'Mapa final'!$L$14="Moderado"),CONCATENATE("R",'Mapa final'!$A$14),"")</f>
        <v/>
      </c>
      <c r="Y32" s="293"/>
      <c r="Z32" s="293" t="str">
        <f>IF(AND('Mapa final'!$H$15="Baja",'Mapa final'!$L$15="Moderado"),CONCATENATE("R",'Mapa final'!$A$15),"")</f>
        <v/>
      </c>
      <c r="AA32" s="294"/>
      <c r="AB32" s="275" t="str">
        <f>IF(AND('Mapa final'!$H$13="Baja",'Mapa final'!$L$13="Mayor"),CONCATENATE("R",'Mapa final'!$A$13),"")</f>
        <v/>
      </c>
      <c r="AC32" s="272"/>
      <c r="AD32" s="270" t="str">
        <f>IF(AND('Mapa final'!$H$14="Baja",'Mapa final'!$L$14="Mayor"),CONCATENATE("R",'Mapa final'!$A$14),"")</f>
        <v/>
      </c>
      <c r="AE32" s="270"/>
      <c r="AF32" s="270" t="str">
        <f>IF(AND('Mapa final'!$H$15="Baja",'Mapa final'!$L$15="Mayor"),CONCATENATE("R",'Mapa final'!$A$15),"")</f>
        <v/>
      </c>
      <c r="AG32" s="271"/>
      <c r="AH32" s="283" t="str">
        <f>IF(AND('Mapa final'!$H$13="Baja",'Mapa final'!$L$13="Catastrófico"),CONCATENATE("R",'Mapa final'!$A$13),"")</f>
        <v/>
      </c>
      <c r="AI32" s="284"/>
      <c r="AJ32" s="284" t="str">
        <f>IF(AND('Mapa final'!$H$14="Baja",'Mapa final'!$L$14="Catastrófico"),CONCATENATE("R",'Mapa final'!$A$14),"")</f>
        <v/>
      </c>
      <c r="AK32" s="284"/>
      <c r="AL32" s="284" t="str">
        <f>IF(AND('Mapa final'!$H$15="Baja",'Mapa final'!$L$15="Catastrófico"),CONCATENATE("R",'Mapa final'!$A$15),"")</f>
        <v/>
      </c>
      <c r="AM32" s="285"/>
      <c r="AN32" s="84"/>
      <c r="AO32" s="255"/>
      <c r="AP32" s="256"/>
      <c r="AQ32" s="256"/>
      <c r="AR32" s="256"/>
      <c r="AS32" s="256"/>
      <c r="AT32" s="25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223"/>
      <c r="C33" s="223"/>
      <c r="D33" s="224"/>
      <c r="E33" s="264"/>
      <c r="F33" s="265"/>
      <c r="G33" s="265"/>
      <c r="H33" s="265"/>
      <c r="I33" s="278"/>
      <c r="J33" s="303"/>
      <c r="K33" s="301"/>
      <c r="L33" s="301"/>
      <c r="M33" s="301"/>
      <c r="N33" s="301"/>
      <c r="O33" s="302"/>
      <c r="P33" s="293"/>
      <c r="Q33" s="293"/>
      <c r="R33" s="293"/>
      <c r="S33" s="293"/>
      <c r="T33" s="293"/>
      <c r="U33" s="294"/>
      <c r="V33" s="292"/>
      <c r="W33" s="293"/>
      <c r="X33" s="293"/>
      <c r="Y33" s="293"/>
      <c r="Z33" s="293"/>
      <c r="AA33" s="294"/>
      <c r="AB33" s="275"/>
      <c r="AC33" s="272"/>
      <c r="AD33" s="270"/>
      <c r="AE33" s="270"/>
      <c r="AF33" s="270"/>
      <c r="AG33" s="271"/>
      <c r="AH33" s="283"/>
      <c r="AI33" s="284"/>
      <c r="AJ33" s="284"/>
      <c r="AK33" s="284"/>
      <c r="AL33" s="284"/>
      <c r="AM33" s="285"/>
      <c r="AN33" s="84"/>
      <c r="AO33" s="255"/>
      <c r="AP33" s="256"/>
      <c r="AQ33" s="256"/>
      <c r="AR33" s="256"/>
      <c r="AS33" s="256"/>
      <c r="AT33" s="25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223"/>
      <c r="C34" s="223"/>
      <c r="D34" s="224"/>
      <c r="E34" s="264"/>
      <c r="F34" s="265"/>
      <c r="G34" s="265"/>
      <c r="H34" s="265"/>
      <c r="I34" s="278"/>
      <c r="J34" s="303" t="str">
        <f>IF(AND('Mapa final'!$H$16="Baja",'Mapa final'!$L$16="Leve"),CONCATENATE("R",'Mapa final'!$A$16),"")</f>
        <v/>
      </c>
      <c r="K34" s="301"/>
      <c r="L34" s="301" t="e">
        <f>IF(AND('Mapa final'!#REF!="Baja",'Mapa final'!#REF!="Leve"),CONCATENATE("R",'Mapa final'!#REF!),"")</f>
        <v>#REF!</v>
      </c>
      <c r="M34" s="301"/>
      <c r="N34" s="301" t="e">
        <f>IF(AND('Mapa final'!#REF!="Baja",'Mapa final'!#REF!="Leve"),CONCATENATE("R",'Mapa final'!#REF!),"")</f>
        <v>#REF!</v>
      </c>
      <c r="O34" s="302"/>
      <c r="P34" s="293" t="str">
        <f>IF(AND('Mapa final'!$H$16="Baja",'Mapa final'!$L$16="Menor"),CONCATENATE("R",'Mapa final'!$A$16),"")</f>
        <v/>
      </c>
      <c r="Q34" s="293"/>
      <c r="R34" s="293" t="e">
        <f>IF(AND('Mapa final'!#REF!="Baja",'Mapa final'!#REF!="Menor"),CONCATENATE("R",'Mapa final'!#REF!),"")</f>
        <v>#REF!</v>
      </c>
      <c r="S34" s="293"/>
      <c r="T34" s="293" t="e">
        <f>IF(AND('Mapa final'!#REF!="Baja",'Mapa final'!#REF!="Menor"),CONCATENATE("R",'Mapa final'!#REF!),"")</f>
        <v>#REF!</v>
      </c>
      <c r="U34" s="294"/>
      <c r="V34" s="292" t="str">
        <f>IF(AND('Mapa final'!$H$16="Baja",'Mapa final'!$L$16="Moderado"),CONCATENATE("R",'Mapa final'!$A$16),"")</f>
        <v/>
      </c>
      <c r="W34" s="293"/>
      <c r="X34" s="293" t="e">
        <f>IF(AND('Mapa final'!#REF!="Baja",'Mapa final'!#REF!="Moderado"),CONCATENATE("R",'Mapa final'!#REF!),"")</f>
        <v>#REF!</v>
      </c>
      <c r="Y34" s="293"/>
      <c r="Z34" s="293" t="e">
        <f>IF(AND('Mapa final'!#REF!="Baja",'Mapa final'!#REF!="Moderado"),CONCATENATE("R",'Mapa final'!#REF!),"")</f>
        <v>#REF!</v>
      </c>
      <c r="AA34" s="294"/>
      <c r="AB34" s="275" t="str">
        <f>IF(AND('Mapa final'!$H$16="Baja",'Mapa final'!$L$16="Mayor"),CONCATENATE("R",'Mapa final'!$A$16),"")</f>
        <v/>
      </c>
      <c r="AC34" s="272"/>
      <c r="AD34" s="270" t="e">
        <f>IF(AND('Mapa final'!#REF!="Baja",'Mapa final'!#REF!="Mayor"),CONCATENATE("R",'Mapa final'!#REF!),"")</f>
        <v>#REF!</v>
      </c>
      <c r="AE34" s="270"/>
      <c r="AF34" s="270" t="e">
        <f>IF(AND('Mapa final'!#REF!="Baja",'Mapa final'!#REF!="Mayor"),CONCATENATE("R",'Mapa final'!#REF!),"")</f>
        <v>#REF!</v>
      </c>
      <c r="AG34" s="271"/>
      <c r="AH34" s="283" t="str">
        <f>IF(AND('Mapa final'!$H$16="Baja",'Mapa final'!$L$16="Catastrófico"),CONCATENATE("R",'Mapa final'!$A$16),"")</f>
        <v/>
      </c>
      <c r="AI34" s="284"/>
      <c r="AJ34" s="284" t="e">
        <f>IF(AND('Mapa final'!#REF!="Baja",'Mapa final'!#REF!="Catastrófico"),CONCATENATE("R",'Mapa final'!#REF!),"")</f>
        <v>#REF!</v>
      </c>
      <c r="AK34" s="284"/>
      <c r="AL34" s="284" t="e">
        <f>IF(AND('Mapa final'!#REF!="Baja",'Mapa final'!#REF!="Catastrófico"),CONCATENATE("R",'Mapa final'!#REF!),"")</f>
        <v>#REF!</v>
      </c>
      <c r="AM34" s="285"/>
      <c r="AN34" s="84"/>
      <c r="AO34" s="255"/>
      <c r="AP34" s="256"/>
      <c r="AQ34" s="256"/>
      <c r="AR34" s="256"/>
      <c r="AS34" s="256"/>
      <c r="AT34" s="25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223"/>
      <c r="C35" s="223"/>
      <c r="D35" s="224"/>
      <c r="E35" s="264"/>
      <c r="F35" s="265"/>
      <c r="G35" s="265"/>
      <c r="H35" s="265"/>
      <c r="I35" s="278"/>
      <c r="J35" s="303"/>
      <c r="K35" s="301"/>
      <c r="L35" s="301"/>
      <c r="M35" s="301"/>
      <c r="N35" s="301"/>
      <c r="O35" s="302"/>
      <c r="P35" s="293"/>
      <c r="Q35" s="293"/>
      <c r="R35" s="293"/>
      <c r="S35" s="293"/>
      <c r="T35" s="293"/>
      <c r="U35" s="294"/>
      <c r="V35" s="292"/>
      <c r="W35" s="293"/>
      <c r="X35" s="293"/>
      <c r="Y35" s="293"/>
      <c r="Z35" s="293"/>
      <c r="AA35" s="294"/>
      <c r="AB35" s="275"/>
      <c r="AC35" s="272"/>
      <c r="AD35" s="270"/>
      <c r="AE35" s="270"/>
      <c r="AF35" s="270"/>
      <c r="AG35" s="271"/>
      <c r="AH35" s="283"/>
      <c r="AI35" s="284"/>
      <c r="AJ35" s="284"/>
      <c r="AK35" s="284"/>
      <c r="AL35" s="284"/>
      <c r="AM35" s="285"/>
      <c r="AN35" s="84"/>
      <c r="AO35" s="255"/>
      <c r="AP35" s="256"/>
      <c r="AQ35" s="256"/>
      <c r="AR35" s="256"/>
      <c r="AS35" s="256"/>
      <c r="AT35" s="25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223"/>
      <c r="C36" s="223"/>
      <c r="D36" s="224"/>
      <c r="E36" s="264"/>
      <c r="F36" s="265"/>
      <c r="G36" s="265"/>
      <c r="H36" s="265"/>
      <c r="I36" s="278"/>
      <c r="J36" s="303" t="e">
        <f>IF(AND('Mapa final'!#REF!="Baja",'Mapa final'!#REF!="Leve"),CONCATENATE("R",'Mapa final'!#REF!),"")</f>
        <v>#REF!</v>
      </c>
      <c r="K36" s="301"/>
      <c r="L36" s="301" t="str">
        <f>IF(AND('Mapa final'!$H$17="Baja",'Mapa final'!$L$17="Leve"),CONCATENATE("R",'Mapa final'!$A$17),"")</f>
        <v/>
      </c>
      <c r="M36" s="301"/>
      <c r="N36" s="301" t="str">
        <f>IF(AND('Mapa final'!$H$23="Baja",'Mapa final'!$L$23="Leve"),CONCATENATE("R",'Mapa final'!$A$23),"")</f>
        <v/>
      </c>
      <c r="O36" s="302"/>
      <c r="P36" s="293" t="e">
        <f>IF(AND('Mapa final'!#REF!="Baja",'Mapa final'!#REF!="Menor"),CONCATENATE("R",'Mapa final'!#REF!),"")</f>
        <v>#REF!</v>
      </c>
      <c r="Q36" s="293"/>
      <c r="R36" s="293" t="str">
        <f>IF(AND('Mapa final'!$H$17="Baja",'Mapa final'!$L$17="Menor"),CONCATENATE("R",'Mapa final'!$A$17),"")</f>
        <v/>
      </c>
      <c r="S36" s="293"/>
      <c r="T36" s="293" t="str">
        <f>IF(AND('Mapa final'!$H$23="Baja",'Mapa final'!$L$23="Menor"),CONCATENATE("R",'Mapa final'!$A$23),"")</f>
        <v/>
      </c>
      <c r="U36" s="294"/>
      <c r="V36" s="292" t="e">
        <f>IF(AND('Mapa final'!#REF!="Baja",'Mapa final'!#REF!="Moderado"),CONCATENATE("R",'Mapa final'!#REF!),"")</f>
        <v>#REF!</v>
      </c>
      <c r="W36" s="293"/>
      <c r="X36" s="293" t="str">
        <f>IF(AND('Mapa final'!$H$17="Baja",'Mapa final'!$L$17="Moderado"),CONCATENATE("R",'Mapa final'!$A$17),"")</f>
        <v/>
      </c>
      <c r="Y36" s="293"/>
      <c r="Z36" s="293" t="str">
        <f>IF(AND('Mapa final'!$H$23="Baja",'Mapa final'!$L$23="Moderado"),CONCATENATE("R",'Mapa final'!$A$23),"")</f>
        <v/>
      </c>
      <c r="AA36" s="294"/>
      <c r="AB36" s="275" t="e">
        <f>IF(AND('Mapa final'!#REF!="Baja",'Mapa final'!#REF!="Mayor"),CONCATENATE("R",'Mapa final'!#REF!),"")</f>
        <v>#REF!</v>
      </c>
      <c r="AC36" s="272"/>
      <c r="AD36" s="270" t="str">
        <f>IF(AND('Mapa final'!$H$17="Baja",'Mapa final'!$L$17="Mayor"),CONCATENATE("R",'Mapa final'!$A$17),"")</f>
        <v/>
      </c>
      <c r="AE36" s="270"/>
      <c r="AF36" s="270" t="str">
        <f>IF(AND('Mapa final'!$H$23="Baja",'Mapa final'!$L$23="Mayor"),CONCATENATE("R",'Mapa final'!$A$23),"")</f>
        <v/>
      </c>
      <c r="AG36" s="271"/>
      <c r="AH36" s="283" t="e">
        <f>IF(AND('Mapa final'!#REF!="Baja",'Mapa final'!#REF!="Catastrófico"),CONCATENATE("R",'Mapa final'!#REF!),"")</f>
        <v>#REF!</v>
      </c>
      <c r="AI36" s="284"/>
      <c r="AJ36" s="284" t="str">
        <f>IF(AND('Mapa final'!$H$17="Baja",'Mapa final'!$L$17="Catastrófico"),CONCATENATE("R",'Mapa final'!$A$17),"")</f>
        <v/>
      </c>
      <c r="AK36" s="284"/>
      <c r="AL36" s="284" t="str">
        <f>IF(AND('Mapa final'!$H$23="Baja",'Mapa final'!$L$23="Catastrófico"),CONCATENATE("R",'Mapa final'!$A$23),"")</f>
        <v/>
      </c>
      <c r="AM36" s="285"/>
      <c r="AN36" s="84"/>
      <c r="AO36" s="255"/>
      <c r="AP36" s="256"/>
      <c r="AQ36" s="256"/>
      <c r="AR36" s="256"/>
      <c r="AS36" s="256"/>
      <c r="AT36" s="25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223"/>
      <c r="C37" s="223"/>
      <c r="D37" s="224"/>
      <c r="E37" s="267"/>
      <c r="F37" s="268"/>
      <c r="G37" s="268"/>
      <c r="H37" s="268"/>
      <c r="I37" s="268"/>
      <c r="J37" s="304"/>
      <c r="K37" s="305"/>
      <c r="L37" s="305"/>
      <c r="M37" s="305"/>
      <c r="N37" s="305"/>
      <c r="O37" s="306"/>
      <c r="P37" s="296"/>
      <c r="Q37" s="296"/>
      <c r="R37" s="296"/>
      <c r="S37" s="296"/>
      <c r="T37" s="296"/>
      <c r="U37" s="297"/>
      <c r="V37" s="295"/>
      <c r="W37" s="296"/>
      <c r="X37" s="296"/>
      <c r="Y37" s="296"/>
      <c r="Z37" s="296"/>
      <c r="AA37" s="297"/>
      <c r="AB37" s="280"/>
      <c r="AC37" s="281"/>
      <c r="AD37" s="281"/>
      <c r="AE37" s="281"/>
      <c r="AF37" s="281"/>
      <c r="AG37" s="282"/>
      <c r="AH37" s="286"/>
      <c r="AI37" s="287"/>
      <c r="AJ37" s="287"/>
      <c r="AK37" s="287"/>
      <c r="AL37" s="287"/>
      <c r="AM37" s="288"/>
      <c r="AN37" s="84"/>
      <c r="AO37" s="258"/>
      <c r="AP37" s="259"/>
      <c r="AQ37" s="259"/>
      <c r="AR37" s="259"/>
      <c r="AS37" s="259"/>
      <c r="AT37" s="26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223"/>
      <c r="C38" s="223"/>
      <c r="D38" s="224"/>
      <c r="E38" s="261" t="s">
        <v>113</v>
      </c>
      <c r="F38" s="262"/>
      <c r="G38" s="262"/>
      <c r="H38" s="262"/>
      <c r="I38" s="263"/>
      <c r="J38" s="307" t="str">
        <f>IF(AND('Mapa final'!$H$10="Muy Baja",'Mapa final'!$L$10="Leve"),CONCATENATE("R",'Mapa final'!$A$10),"")</f>
        <v/>
      </c>
      <c r="K38" s="308"/>
      <c r="L38" s="308" t="str">
        <f>IF(AND('Mapa final'!$H$11="Muy Baja",'Mapa final'!$L$11="Leve"),CONCATENATE("R",'Mapa final'!$A$11),"")</f>
        <v/>
      </c>
      <c r="M38" s="308"/>
      <c r="N38" s="308" t="str">
        <f>IF(AND('Mapa final'!$H$12="Muy Baja",'Mapa final'!$L$12="Leve"),CONCATENATE("R",'Mapa final'!$A$12),"")</f>
        <v/>
      </c>
      <c r="O38" s="309"/>
      <c r="P38" s="307" t="str">
        <f>IF(AND('Mapa final'!$H$10="Muy Baja",'Mapa final'!$L$10="Menor"),CONCATENATE("R",'Mapa final'!$A$10),"")</f>
        <v/>
      </c>
      <c r="Q38" s="308"/>
      <c r="R38" s="308" t="str">
        <f>IF(AND('Mapa final'!$H$11="Muy Baja",'Mapa final'!$L$11="Menor"),CONCATENATE("R",'Mapa final'!$A$11),"")</f>
        <v/>
      </c>
      <c r="S38" s="308"/>
      <c r="T38" s="308" t="str">
        <f>IF(AND('Mapa final'!$H$12="Muy Baja",'Mapa final'!$L$12="Menor"),CONCATENATE("R",'Mapa final'!$A$12),"")</f>
        <v/>
      </c>
      <c r="U38" s="309"/>
      <c r="V38" s="298" t="str">
        <f>IF(AND('Mapa final'!$H$10="Muy Baja",'Mapa final'!$L$10="Moderado"),CONCATENATE("R",'Mapa final'!$A$10),"")</f>
        <v/>
      </c>
      <c r="W38" s="299"/>
      <c r="X38" s="299" t="str">
        <f>IF(AND('Mapa final'!$H$11="Muy Baja",'Mapa final'!$L$11="Moderado"),CONCATENATE("R",'Mapa final'!$A$11),"")</f>
        <v/>
      </c>
      <c r="Y38" s="299"/>
      <c r="Z38" s="299" t="str">
        <f>IF(AND('Mapa final'!$H$12="Muy Baja",'Mapa final'!$L$12="Moderado"),CONCATENATE("R",'Mapa final'!$A$12),"")</f>
        <v/>
      </c>
      <c r="AA38" s="300"/>
      <c r="AB38" s="273" t="str">
        <f>IF(AND('Mapa final'!$H$10="Muy Baja",'Mapa final'!$L$10="Mayor"),CONCATENATE("R",'Mapa final'!$A$10),"")</f>
        <v/>
      </c>
      <c r="AC38" s="274"/>
      <c r="AD38" s="274" t="str">
        <f>IF(AND('Mapa final'!$H$11="Muy Baja",'Mapa final'!$L$11="Mayor"),CONCATENATE("R",'Mapa final'!$A$11),"")</f>
        <v/>
      </c>
      <c r="AE38" s="274"/>
      <c r="AF38" s="274" t="str">
        <f>IF(AND('Mapa final'!$H$12="Muy Baja",'Mapa final'!$L$12="Mayor"),CONCATENATE("R",'Mapa final'!$A$12),"")</f>
        <v/>
      </c>
      <c r="AG38" s="276"/>
      <c r="AH38" s="289" t="str">
        <f>IF(AND('Mapa final'!$H$10="Muy Baja",'Mapa final'!$L$10="Catastrófico"),CONCATENATE("R",'Mapa final'!$A$10),"")</f>
        <v/>
      </c>
      <c r="AI38" s="290"/>
      <c r="AJ38" s="290" t="str">
        <f>IF(AND('Mapa final'!$H$11="Muy Baja",'Mapa final'!$L$11="Catastrófico"),CONCATENATE("R",'Mapa final'!$A$11),"")</f>
        <v/>
      </c>
      <c r="AK38" s="290"/>
      <c r="AL38" s="290" t="str">
        <f>IF(AND('Mapa final'!$H$12="Muy Baja",'Mapa final'!$L$12="Catastrófico"),CONCATENATE("R",'Mapa final'!$A$12),"")</f>
        <v/>
      </c>
      <c r="AM38" s="291"/>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223"/>
      <c r="C39" s="223"/>
      <c r="D39" s="224"/>
      <c r="E39" s="264"/>
      <c r="F39" s="265"/>
      <c r="G39" s="265"/>
      <c r="H39" s="265"/>
      <c r="I39" s="266"/>
      <c r="J39" s="303"/>
      <c r="K39" s="301"/>
      <c r="L39" s="301"/>
      <c r="M39" s="301"/>
      <c r="N39" s="301"/>
      <c r="O39" s="302"/>
      <c r="P39" s="303"/>
      <c r="Q39" s="301"/>
      <c r="R39" s="301"/>
      <c r="S39" s="301"/>
      <c r="T39" s="301"/>
      <c r="U39" s="302"/>
      <c r="V39" s="292"/>
      <c r="W39" s="293"/>
      <c r="X39" s="293"/>
      <c r="Y39" s="293"/>
      <c r="Z39" s="293"/>
      <c r="AA39" s="294"/>
      <c r="AB39" s="275"/>
      <c r="AC39" s="272"/>
      <c r="AD39" s="272"/>
      <c r="AE39" s="272"/>
      <c r="AF39" s="272"/>
      <c r="AG39" s="271"/>
      <c r="AH39" s="283"/>
      <c r="AI39" s="284"/>
      <c r="AJ39" s="284"/>
      <c r="AK39" s="284"/>
      <c r="AL39" s="284"/>
      <c r="AM39" s="285"/>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223"/>
      <c r="C40" s="223"/>
      <c r="D40" s="224"/>
      <c r="E40" s="264"/>
      <c r="F40" s="265"/>
      <c r="G40" s="265"/>
      <c r="H40" s="265"/>
      <c r="I40" s="266"/>
      <c r="J40" s="303" t="str">
        <f>IF(AND('Mapa final'!$H$13="Muy Baja",'Mapa final'!$L$13="Leve"),CONCATENATE("R",'Mapa final'!$A$13),"")</f>
        <v/>
      </c>
      <c r="K40" s="301"/>
      <c r="L40" s="301" t="str">
        <f>IF(AND('Mapa final'!$H$14="Muy Baja",'Mapa final'!$L$14="Leve"),CONCATENATE("R",'Mapa final'!$A$14),"")</f>
        <v/>
      </c>
      <c r="M40" s="301"/>
      <c r="N40" s="301" t="str">
        <f>IF(AND('Mapa final'!$H$15="Muy Baja",'Mapa final'!$L$15="Leve"),CONCATENATE("R",'Mapa final'!$A$15),"")</f>
        <v/>
      </c>
      <c r="O40" s="302"/>
      <c r="P40" s="303" t="str">
        <f>IF(AND('Mapa final'!$H$13="Muy Baja",'Mapa final'!$L$13="Menor"),CONCATENATE("R",'Mapa final'!$A$13),"")</f>
        <v/>
      </c>
      <c r="Q40" s="301"/>
      <c r="R40" s="301" t="str">
        <f>IF(AND('Mapa final'!$H$14="Muy Baja",'Mapa final'!$L$14="Menor"),CONCATENATE("R",'Mapa final'!$A$14),"")</f>
        <v/>
      </c>
      <c r="S40" s="301"/>
      <c r="T40" s="301" t="str">
        <f>IF(AND('Mapa final'!$H$15="Muy Baja",'Mapa final'!$L$15="Menor"),CONCATENATE("R",'Mapa final'!$A$15),"")</f>
        <v/>
      </c>
      <c r="U40" s="302"/>
      <c r="V40" s="292" t="str">
        <f>IF(AND('Mapa final'!$H$13="Muy Baja",'Mapa final'!$L$13="Moderado"),CONCATENATE("R",'Mapa final'!$A$13),"")</f>
        <v/>
      </c>
      <c r="W40" s="293"/>
      <c r="X40" s="293" t="str">
        <f>IF(AND('Mapa final'!$H$14="Muy Baja",'Mapa final'!$L$14="Moderado"),CONCATENATE("R",'Mapa final'!$A$14),"")</f>
        <v/>
      </c>
      <c r="Y40" s="293"/>
      <c r="Z40" s="293" t="str">
        <f>IF(AND('Mapa final'!$H$15="Muy Baja",'Mapa final'!$L$15="Moderado"),CONCATENATE("R",'Mapa final'!$A$15),"")</f>
        <v/>
      </c>
      <c r="AA40" s="294"/>
      <c r="AB40" s="275" t="str">
        <f>IF(AND('Mapa final'!$H$13="Muy Baja",'Mapa final'!$L$13="Mayor"),CONCATENATE("R",'Mapa final'!$A$13),"")</f>
        <v/>
      </c>
      <c r="AC40" s="272"/>
      <c r="AD40" s="270" t="str">
        <f>IF(AND('Mapa final'!$H$14="Muy Baja",'Mapa final'!$L$14="Mayor"),CONCATENATE("R",'Mapa final'!$A$14),"")</f>
        <v/>
      </c>
      <c r="AE40" s="270"/>
      <c r="AF40" s="270" t="str">
        <f>IF(AND('Mapa final'!$H$15="Muy Baja",'Mapa final'!$L$15="Mayor"),CONCATENATE("R",'Mapa final'!$A$15),"")</f>
        <v/>
      </c>
      <c r="AG40" s="271"/>
      <c r="AH40" s="283" t="str">
        <f>IF(AND('Mapa final'!$H$13="Muy Baja",'Mapa final'!$L$13="Catastrófico"),CONCATENATE("R",'Mapa final'!$A$13),"")</f>
        <v/>
      </c>
      <c r="AI40" s="284"/>
      <c r="AJ40" s="284" t="str">
        <f>IF(AND('Mapa final'!$H$14="Muy Baja",'Mapa final'!$L$14="Catastrófico"),CONCATENATE("R",'Mapa final'!$A$14),"")</f>
        <v/>
      </c>
      <c r="AK40" s="284"/>
      <c r="AL40" s="284" t="str">
        <f>IF(AND('Mapa final'!$H$15="Muy Baja",'Mapa final'!$L$15="Catastrófico"),CONCATENATE("R",'Mapa final'!$A$15),"")</f>
        <v/>
      </c>
      <c r="AM40" s="285"/>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223"/>
      <c r="C41" s="223"/>
      <c r="D41" s="224"/>
      <c r="E41" s="264"/>
      <c r="F41" s="265"/>
      <c r="G41" s="265"/>
      <c r="H41" s="265"/>
      <c r="I41" s="266"/>
      <c r="J41" s="303"/>
      <c r="K41" s="301"/>
      <c r="L41" s="301"/>
      <c r="M41" s="301"/>
      <c r="N41" s="301"/>
      <c r="O41" s="302"/>
      <c r="P41" s="303"/>
      <c r="Q41" s="301"/>
      <c r="R41" s="301"/>
      <c r="S41" s="301"/>
      <c r="T41" s="301"/>
      <c r="U41" s="302"/>
      <c r="V41" s="292"/>
      <c r="W41" s="293"/>
      <c r="X41" s="293"/>
      <c r="Y41" s="293"/>
      <c r="Z41" s="293"/>
      <c r="AA41" s="294"/>
      <c r="AB41" s="275"/>
      <c r="AC41" s="272"/>
      <c r="AD41" s="270"/>
      <c r="AE41" s="270"/>
      <c r="AF41" s="270"/>
      <c r="AG41" s="271"/>
      <c r="AH41" s="283"/>
      <c r="AI41" s="284"/>
      <c r="AJ41" s="284"/>
      <c r="AK41" s="284"/>
      <c r="AL41" s="284"/>
      <c r="AM41" s="285"/>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223"/>
      <c r="C42" s="223"/>
      <c r="D42" s="224"/>
      <c r="E42" s="264"/>
      <c r="F42" s="265"/>
      <c r="G42" s="265"/>
      <c r="H42" s="265"/>
      <c r="I42" s="266"/>
      <c r="J42" s="303" t="str">
        <f>IF(AND('Mapa final'!$H$16="Muy Baja",'Mapa final'!$L$16="Leve"),CONCATENATE("R",'Mapa final'!$A$16),"")</f>
        <v/>
      </c>
      <c r="K42" s="301"/>
      <c r="L42" s="301" t="e">
        <f>IF(AND('Mapa final'!#REF!="Muy Baja",'Mapa final'!#REF!="Leve"),CONCATENATE("R",'Mapa final'!#REF!),"")</f>
        <v>#REF!</v>
      </c>
      <c r="M42" s="301"/>
      <c r="N42" s="301" t="e">
        <f>IF(AND('Mapa final'!#REF!="Muy Baja",'Mapa final'!#REF!="Leve"),CONCATENATE("R",'Mapa final'!#REF!),"")</f>
        <v>#REF!</v>
      </c>
      <c r="O42" s="302"/>
      <c r="P42" s="303" t="str">
        <f>IF(AND('Mapa final'!$H$16="Muy Baja",'Mapa final'!$L$16="Menor"),CONCATENATE("R",'Mapa final'!$A$16),"")</f>
        <v/>
      </c>
      <c r="Q42" s="301"/>
      <c r="R42" s="301" t="e">
        <f>IF(AND('Mapa final'!#REF!="Muy Baja",'Mapa final'!#REF!="Menor"),CONCATENATE("R",'Mapa final'!#REF!),"")</f>
        <v>#REF!</v>
      </c>
      <c r="S42" s="301"/>
      <c r="T42" s="301" t="e">
        <f>IF(AND('Mapa final'!#REF!="Muy Baja",'Mapa final'!#REF!="Menor"),CONCATENATE("R",'Mapa final'!#REF!),"")</f>
        <v>#REF!</v>
      </c>
      <c r="U42" s="302"/>
      <c r="V42" s="292" t="str">
        <f>IF(AND('Mapa final'!$H$16="Muy Baja",'Mapa final'!$L$16="Moderado"),CONCATENATE("R",'Mapa final'!$A$16),"")</f>
        <v/>
      </c>
      <c r="W42" s="293"/>
      <c r="X42" s="293" t="e">
        <f>IF(AND('Mapa final'!#REF!="Muy Baja",'Mapa final'!#REF!="Moderado"),CONCATENATE("R",'Mapa final'!#REF!),"")</f>
        <v>#REF!</v>
      </c>
      <c r="Y42" s="293"/>
      <c r="Z42" s="293" t="e">
        <f>IF(AND('Mapa final'!#REF!="Muy Baja",'Mapa final'!#REF!="Moderado"),CONCATENATE("R",'Mapa final'!#REF!),"")</f>
        <v>#REF!</v>
      </c>
      <c r="AA42" s="294"/>
      <c r="AB42" s="275" t="str">
        <f>IF(AND('Mapa final'!$H$16="Muy Baja",'Mapa final'!$L$16="Mayor"),CONCATENATE("R",'Mapa final'!$A$16),"")</f>
        <v/>
      </c>
      <c r="AC42" s="272"/>
      <c r="AD42" s="270" t="e">
        <f>IF(AND('Mapa final'!#REF!="Muy Baja",'Mapa final'!#REF!="Mayor"),CONCATENATE("R",'Mapa final'!#REF!),"")</f>
        <v>#REF!</v>
      </c>
      <c r="AE42" s="270"/>
      <c r="AF42" s="270" t="e">
        <f>IF(AND('Mapa final'!#REF!="Muy Baja",'Mapa final'!#REF!="Mayor"),CONCATENATE("R",'Mapa final'!#REF!),"")</f>
        <v>#REF!</v>
      </c>
      <c r="AG42" s="271"/>
      <c r="AH42" s="283" t="str">
        <f>IF(AND('Mapa final'!$H$16="Muy Baja",'Mapa final'!$L$16="Catastrófico"),CONCATENATE("R",'Mapa final'!$A$16),"")</f>
        <v/>
      </c>
      <c r="AI42" s="284"/>
      <c r="AJ42" s="284" t="e">
        <f>IF(AND('Mapa final'!#REF!="Muy Baja",'Mapa final'!#REF!="Catastrófico"),CONCATENATE("R",'Mapa final'!#REF!),"")</f>
        <v>#REF!</v>
      </c>
      <c r="AK42" s="284"/>
      <c r="AL42" s="284" t="e">
        <f>IF(AND('Mapa final'!#REF!="Muy Baja",'Mapa final'!#REF!="Catastrófico"),CONCATENATE("R",'Mapa final'!#REF!),"")</f>
        <v>#REF!</v>
      </c>
      <c r="AM42" s="285"/>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223"/>
      <c r="C43" s="223"/>
      <c r="D43" s="224"/>
      <c r="E43" s="264"/>
      <c r="F43" s="265"/>
      <c r="G43" s="265"/>
      <c r="H43" s="265"/>
      <c r="I43" s="266"/>
      <c r="J43" s="303"/>
      <c r="K43" s="301"/>
      <c r="L43" s="301"/>
      <c r="M43" s="301"/>
      <c r="N43" s="301"/>
      <c r="O43" s="302"/>
      <c r="P43" s="303"/>
      <c r="Q43" s="301"/>
      <c r="R43" s="301"/>
      <c r="S43" s="301"/>
      <c r="T43" s="301"/>
      <c r="U43" s="302"/>
      <c r="V43" s="292"/>
      <c r="W43" s="293"/>
      <c r="X43" s="293"/>
      <c r="Y43" s="293"/>
      <c r="Z43" s="293"/>
      <c r="AA43" s="294"/>
      <c r="AB43" s="275"/>
      <c r="AC43" s="272"/>
      <c r="AD43" s="270"/>
      <c r="AE43" s="270"/>
      <c r="AF43" s="270"/>
      <c r="AG43" s="271"/>
      <c r="AH43" s="283"/>
      <c r="AI43" s="284"/>
      <c r="AJ43" s="284"/>
      <c r="AK43" s="284"/>
      <c r="AL43" s="284"/>
      <c r="AM43" s="285"/>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223"/>
      <c r="C44" s="223"/>
      <c r="D44" s="224"/>
      <c r="E44" s="264"/>
      <c r="F44" s="265"/>
      <c r="G44" s="265"/>
      <c r="H44" s="265"/>
      <c r="I44" s="266"/>
      <c r="J44" s="303" t="e">
        <f>IF(AND('Mapa final'!#REF!="Muy Baja",'Mapa final'!#REF!="Leve"),CONCATENATE("R",'Mapa final'!#REF!),"")</f>
        <v>#REF!</v>
      </c>
      <c r="K44" s="301"/>
      <c r="L44" s="301" t="str">
        <f>IF(AND('Mapa final'!$H$17="Muy Baja",'Mapa final'!$L$17="Leve"),CONCATENATE("R",'Mapa final'!$A$17),"")</f>
        <v/>
      </c>
      <c r="M44" s="301"/>
      <c r="N44" s="301" t="str">
        <f>IF(AND('Mapa final'!$H$23="Muy Baja",'Mapa final'!$L$23="Leve"),CONCATENATE("R",'Mapa final'!$A$23),"")</f>
        <v/>
      </c>
      <c r="O44" s="302"/>
      <c r="P44" s="303" t="e">
        <f>IF(AND('Mapa final'!#REF!="Muy Baja",'Mapa final'!#REF!="Menor"),CONCATENATE("R",'Mapa final'!#REF!),"")</f>
        <v>#REF!</v>
      </c>
      <c r="Q44" s="301"/>
      <c r="R44" s="301" t="str">
        <f>IF(AND('Mapa final'!$H$17="Muy Baja",'Mapa final'!$L$17="Menor"),CONCATENATE("R",'Mapa final'!$A$17),"")</f>
        <v/>
      </c>
      <c r="S44" s="301"/>
      <c r="T44" s="301" t="str">
        <f>IF(AND('Mapa final'!$H$23="Muy Baja",'Mapa final'!$L$23="Menor"),CONCATENATE("R",'Mapa final'!$A$23),"")</f>
        <v/>
      </c>
      <c r="U44" s="302"/>
      <c r="V44" s="292" t="e">
        <f>IF(AND('Mapa final'!#REF!="Muy Baja",'Mapa final'!#REF!="Moderado"),CONCATENATE("R",'Mapa final'!#REF!),"")</f>
        <v>#REF!</v>
      </c>
      <c r="W44" s="293"/>
      <c r="X44" s="293" t="str">
        <f>IF(AND('Mapa final'!$H$17="Muy Baja",'Mapa final'!$L$17="Moderado"),CONCATENATE("R",'Mapa final'!$A$17),"")</f>
        <v/>
      </c>
      <c r="Y44" s="293"/>
      <c r="Z44" s="293" t="str">
        <f>IF(AND('Mapa final'!$H$23="Muy Baja",'Mapa final'!$L$23="Moderado"),CONCATENATE("R",'Mapa final'!$A$23),"")</f>
        <v/>
      </c>
      <c r="AA44" s="294"/>
      <c r="AB44" s="275" t="e">
        <f>IF(AND('Mapa final'!#REF!="Muy Baja",'Mapa final'!#REF!="Mayor"),CONCATENATE("R",'Mapa final'!#REF!),"")</f>
        <v>#REF!</v>
      </c>
      <c r="AC44" s="272"/>
      <c r="AD44" s="270" t="str">
        <f>IF(AND('Mapa final'!$H$17="Muy Baja",'Mapa final'!$L$17="Mayor"),CONCATENATE("R",'Mapa final'!$A$17),"")</f>
        <v/>
      </c>
      <c r="AE44" s="270"/>
      <c r="AF44" s="270" t="str">
        <f>IF(AND('Mapa final'!$H$23="Muy Baja",'Mapa final'!$L$23="Mayor"),CONCATENATE("R",'Mapa final'!$A$23),"")</f>
        <v/>
      </c>
      <c r="AG44" s="271"/>
      <c r="AH44" s="283" t="e">
        <f>IF(AND('Mapa final'!#REF!="Muy Baja",'Mapa final'!#REF!="Catastrófico"),CONCATENATE("R",'Mapa final'!#REF!),"")</f>
        <v>#REF!</v>
      </c>
      <c r="AI44" s="284"/>
      <c r="AJ44" s="284" t="str">
        <f>IF(AND('Mapa final'!$H$17="Muy Baja",'Mapa final'!$L$17="Catastrófico"),CONCATENATE("R",'Mapa final'!$A$17),"")</f>
        <v/>
      </c>
      <c r="AK44" s="284"/>
      <c r="AL44" s="284" t="str">
        <f>IF(AND('Mapa final'!$H$23="Muy Baja",'Mapa final'!$L$23="Catastrófico"),CONCATENATE("R",'Mapa final'!$A$23),"")</f>
        <v/>
      </c>
      <c r="AM44" s="285"/>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223"/>
      <c r="C45" s="223"/>
      <c r="D45" s="224"/>
      <c r="E45" s="267"/>
      <c r="F45" s="268"/>
      <c r="G45" s="268"/>
      <c r="H45" s="268"/>
      <c r="I45" s="269"/>
      <c r="J45" s="304"/>
      <c r="K45" s="305"/>
      <c r="L45" s="305"/>
      <c r="M45" s="305"/>
      <c r="N45" s="305"/>
      <c r="O45" s="306"/>
      <c r="P45" s="304"/>
      <c r="Q45" s="305"/>
      <c r="R45" s="305"/>
      <c r="S45" s="305"/>
      <c r="T45" s="305"/>
      <c r="U45" s="306"/>
      <c r="V45" s="295"/>
      <c r="W45" s="296"/>
      <c r="X45" s="296"/>
      <c r="Y45" s="296"/>
      <c r="Z45" s="296"/>
      <c r="AA45" s="297"/>
      <c r="AB45" s="280"/>
      <c r="AC45" s="281"/>
      <c r="AD45" s="281"/>
      <c r="AE45" s="281"/>
      <c r="AF45" s="281"/>
      <c r="AG45" s="282"/>
      <c r="AH45" s="286"/>
      <c r="AI45" s="287"/>
      <c r="AJ45" s="287"/>
      <c r="AK45" s="287"/>
      <c r="AL45" s="287"/>
      <c r="AM45" s="288"/>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61" t="s">
        <v>112</v>
      </c>
      <c r="K46" s="262"/>
      <c r="L46" s="262"/>
      <c r="M46" s="262"/>
      <c r="N46" s="262"/>
      <c r="O46" s="263"/>
      <c r="P46" s="261" t="s">
        <v>111</v>
      </c>
      <c r="Q46" s="262"/>
      <c r="R46" s="262"/>
      <c r="S46" s="262"/>
      <c r="T46" s="262"/>
      <c r="U46" s="263"/>
      <c r="V46" s="261" t="s">
        <v>110</v>
      </c>
      <c r="W46" s="262"/>
      <c r="X46" s="262"/>
      <c r="Y46" s="262"/>
      <c r="Z46" s="262"/>
      <c r="AA46" s="263"/>
      <c r="AB46" s="261" t="s">
        <v>109</v>
      </c>
      <c r="AC46" s="279"/>
      <c r="AD46" s="262"/>
      <c r="AE46" s="262"/>
      <c r="AF46" s="262"/>
      <c r="AG46" s="263"/>
      <c r="AH46" s="261" t="s">
        <v>108</v>
      </c>
      <c r="AI46" s="262"/>
      <c r="AJ46" s="262"/>
      <c r="AK46" s="262"/>
      <c r="AL46" s="262"/>
      <c r="AM46" s="263"/>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64"/>
      <c r="K47" s="265"/>
      <c r="L47" s="265"/>
      <c r="M47" s="265"/>
      <c r="N47" s="265"/>
      <c r="O47" s="266"/>
      <c r="P47" s="264"/>
      <c r="Q47" s="265"/>
      <c r="R47" s="265"/>
      <c r="S47" s="265"/>
      <c r="T47" s="265"/>
      <c r="U47" s="266"/>
      <c r="V47" s="264"/>
      <c r="W47" s="265"/>
      <c r="X47" s="265"/>
      <c r="Y47" s="265"/>
      <c r="Z47" s="265"/>
      <c r="AA47" s="266"/>
      <c r="AB47" s="264"/>
      <c r="AC47" s="265"/>
      <c r="AD47" s="265"/>
      <c r="AE47" s="265"/>
      <c r="AF47" s="265"/>
      <c r="AG47" s="266"/>
      <c r="AH47" s="264"/>
      <c r="AI47" s="265"/>
      <c r="AJ47" s="265"/>
      <c r="AK47" s="265"/>
      <c r="AL47" s="265"/>
      <c r="AM47" s="266"/>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64"/>
      <c r="K48" s="265"/>
      <c r="L48" s="265"/>
      <c r="M48" s="265"/>
      <c r="N48" s="265"/>
      <c r="O48" s="266"/>
      <c r="P48" s="264"/>
      <c r="Q48" s="265"/>
      <c r="R48" s="265"/>
      <c r="S48" s="265"/>
      <c r="T48" s="265"/>
      <c r="U48" s="266"/>
      <c r="V48" s="264"/>
      <c r="W48" s="265"/>
      <c r="X48" s="265"/>
      <c r="Y48" s="265"/>
      <c r="Z48" s="265"/>
      <c r="AA48" s="266"/>
      <c r="AB48" s="264"/>
      <c r="AC48" s="265"/>
      <c r="AD48" s="265"/>
      <c r="AE48" s="265"/>
      <c r="AF48" s="265"/>
      <c r="AG48" s="266"/>
      <c r="AH48" s="264"/>
      <c r="AI48" s="265"/>
      <c r="AJ48" s="265"/>
      <c r="AK48" s="265"/>
      <c r="AL48" s="265"/>
      <c r="AM48" s="266"/>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64"/>
      <c r="K49" s="265"/>
      <c r="L49" s="265"/>
      <c r="M49" s="265"/>
      <c r="N49" s="265"/>
      <c r="O49" s="266"/>
      <c r="P49" s="264"/>
      <c r="Q49" s="265"/>
      <c r="R49" s="265"/>
      <c r="S49" s="265"/>
      <c r="T49" s="265"/>
      <c r="U49" s="266"/>
      <c r="V49" s="264"/>
      <c r="W49" s="265"/>
      <c r="X49" s="265"/>
      <c r="Y49" s="265"/>
      <c r="Z49" s="265"/>
      <c r="AA49" s="266"/>
      <c r="AB49" s="264"/>
      <c r="AC49" s="265"/>
      <c r="AD49" s="265"/>
      <c r="AE49" s="265"/>
      <c r="AF49" s="265"/>
      <c r="AG49" s="266"/>
      <c r="AH49" s="264"/>
      <c r="AI49" s="265"/>
      <c r="AJ49" s="265"/>
      <c r="AK49" s="265"/>
      <c r="AL49" s="265"/>
      <c r="AM49" s="266"/>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64"/>
      <c r="K50" s="265"/>
      <c r="L50" s="265"/>
      <c r="M50" s="265"/>
      <c r="N50" s="265"/>
      <c r="O50" s="266"/>
      <c r="P50" s="264"/>
      <c r="Q50" s="265"/>
      <c r="R50" s="265"/>
      <c r="S50" s="265"/>
      <c r="T50" s="265"/>
      <c r="U50" s="266"/>
      <c r="V50" s="264"/>
      <c r="W50" s="265"/>
      <c r="X50" s="265"/>
      <c r="Y50" s="265"/>
      <c r="Z50" s="265"/>
      <c r="AA50" s="266"/>
      <c r="AB50" s="264"/>
      <c r="AC50" s="265"/>
      <c r="AD50" s="265"/>
      <c r="AE50" s="265"/>
      <c r="AF50" s="265"/>
      <c r="AG50" s="266"/>
      <c r="AH50" s="264"/>
      <c r="AI50" s="265"/>
      <c r="AJ50" s="265"/>
      <c r="AK50" s="265"/>
      <c r="AL50" s="265"/>
      <c r="AM50" s="266"/>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67"/>
      <c r="K51" s="268"/>
      <c r="L51" s="268"/>
      <c r="M51" s="268"/>
      <c r="N51" s="268"/>
      <c r="O51" s="269"/>
      <c r="P51" s="267"/>
      <c r="Q51" s="268"/>
      <c r="R51" s="268"/>
      <c r="S51" s="268"/>
      <c r="T51" s="268"/>
      <c r="U51" s="269"/>
      <c r="V51" s="267"/>
      <c r="W51" s="268"/>
      <c r="X51" s="268"/>
      <c r="Y51" s="268"/>
      <c r="Z51" s="268"/>
      <c r="AA51" s="269"/>
      <c r="AB51" s="267"/>
      <c r="AC51" s="268"/>
      <c r="AD51" s="268"/>
      <c r="AE51" s="268"/>
      <c r="AF51" s="268"/>
      <c r="AG51" s="269"/>
      <c r="AH51" s="267"/>
      <c r="AI51" s="268"/>
      <c r="AJ51" s="268"/>
      <c r="AK51" s="268"/>
      <c r="AL51" s="268"/>
      <c r="AM51" s="269"/>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37" t="s">
        <v>159</v>
      </c>
      <c r="C2" s="338"/>
      <c r="D2" s="338"/>
      <c r="E2" s="338"/>
      <c r="F2" s="338"/>
      <c r="G2" s="338"/>
      <c r="H2" s="338"/>
      <c r="I2" s="338"/>
      <c r="J2" s="277" t="s">
        <v>2</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38"/>
      <c r="C3" s="338"/>
      <c r="D3" s="338"/>
      <c r="E3" s="338"/>
      <c r="F3" s="338"/>
      <c r="G3" s="338"/>
      <c r="H3" s="338"/>
      <c r="I3" s="338"/>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38"/>
      <c r="C4" s="338"/>
      <c r="D4" s="338"/>
      <c r="E4" s="338"/>
      <c r="F4" s="338"/>
      <c r="G4" s="338"/>
      <c r="H4" s="338"/>
      <c r="I4" s="338"/>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223" t="s">
        <v>4</v>
      </c>
      <c r="C6" s="223"/>
      <c r="D6" s="224"/>
      <c r="E6" s="320" t="s">
        <v>116</v>
      </c>
      <c r="F6" s="321"/>
      <c r="G6" s="321"/>
      <c r="H6" s="321"/>
      <c r="I6" s="339"/>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28" t="s">
        <v>79</v>
      </c>
      <c r="AP6" s="329"/>
      <c r="AQ6" s="329"/>
      <c r="AR6" s="329"/>
      <c r="AS6" s="329"/>
      <c r="AT6" s="33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223"/>
      <c r="C7" s="223"/>
      <c r="D7" s="224"/>
      <c r="E7" s="324"/>
      <c r="F7" s="325"/>
      <c r="G7" s="325"/>
      <c r="H7" s="325"/>
      <c r="I7" s="340"/>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31"/>
      <c r="AP7" s="332"/>
      <c r="AQ7" s="332"/>
      <c r="AR7" s="332"/>
      <c r="AS7" s="332"/>
      <c r="AT7" s="33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223"/>
      <c r="C8" s="223"/>
      <c r="D8" s="224"/>
      <c r="E8" s="324"/>
      <c r="F8" s="325"/>
      <c r="G8" s="325"/>
      <c r="H8" s="325"/>
      <c r="I8" s="340"/>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31"/>
      <c r="AP8" s="332"/>
      <c r="AQ8" s="332"/>
      <c r="AR8" s="332"/>
      <c r="AS8" s="332"/>
      <c r="AT8" s="33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223"/>
      <c r="C9" s="223"/>
      <c r="D9" s="224"/>
      <c r="E9" s="324"/>
      <c r="F9" s="325"/>
      <c r="G9" s="325"/>
      <c r="H9" s="325"/>
      <c r="I9" s="340"/>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31"/>
      <c r="AP9" s="332"/>
      <c r="AQ9" s="332"/>
      <c r="AR9" s="332"/>
      <c r="AS9" s="332"/>
      <c r="AT9" s="33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223"/>
      <c r="C10" s="223"/>
      <c r="D10" s="224"/>
      <c r="E10" s="324"/>
      <c r="F10" s="325"/>
      <c r="G10" s="325"/>
      <c r="H10" s="325"/>
      <c r="I10" s="340"/>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31"/>
      <c r="AP10" s="332"/>
      <c r="AQ10" s="332"/>
      <c r="AR10" s="332"/>
      <c r="AS10" s="332"/>
      <c r="AT10" s="33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223"/>
      <c r="C11" s="223"/>
      <c r="D11" s="224"/>
      <c r="E11" s="324"/>
      <c r="F11" s="325"/>
      <c r="G11" s="325"/>
      <c r="H11" s="325"/>
      <c r="I11" s="340"/>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31"/>
      <c r="AP11" s="332"/>
      <c r="AQ11" s="332"/>
      <c r="AR11" s="332"/>
      <c r="AS11" s="332"/>
      <c r="AT11" s="33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223"/>
      <c r="C12" s="223"/>
      <c r="D12" s="224"/>
      <c r="E12" s="324"/>
      <c r="F12" s="325"/>
      <c r="G12" s="325"/>
      <c r="H12" s="325"/>
      <c r="I12" s="340"/>
      <c r="J12" s="52" t="str">
        <f>IF(AND('Mapa final'!$Y$16="Muy Alta",'Mapa final'!$AA$16="Leve"),CONCATENATE("R7C",'Mapa final'!$O$16),"")</f>
        <v/>
      </c>
      <c r="K12" s="53" t="e">
        <f>IF(AND('Mapa final'!#REF!="Muy Alta",'Mapa final'!#REF!="Leve"),CONCATENATE("R7C",'Mapa final'!#REF!),"")</f>
        <v>#REF!</v>
      </c>
      <c r="L12" s="58" t="e">
        <f>IF(AND('Mapa final'!#REF!="Muy Alta",'Mapa final'!#REF!="Leve"),CONCATENATE("R7C",'Mapa final'!#REF!),"")</f>
        <v>#REF!</v>
      </c>
      <c r="M12" s="58" t="e">
        <f>IF(AND('Mapa final'!#REF!="Muy Alta",'Mapa final'!#REF!="Leve"),CONCATENATE("R7C",'Mapa final'!#REF!),"")</f>
        <v>#REF!</v>
      </c>
      <c r="N12" s="58" t="e">
        <f>IF(AND('Mapa final'!#REF!="Muy Alta",'Mapa final'!#REF!="Leve"),CONCATENATE("R7C",'Mapa final'!#REF!),"")</f>
        <v>#REF!</v>
      </c>
      <c r="O12" s="54" t="e">
        <f>IF(AND('Mapa final'!#REF!="Muy Alta",'Mapa final'!#REF!="Leve"),CONCATENATE("R7C",'Mapa final'!#REF!),"")</f>
        <v>#REF!</v>
      </c>
      <c r="P12" s="52" t="str">
        <f>IF(AND('Mapa final'!$Y$16="Muy Alta",'Mapa final'!$AA$16="Menor"),CONCATENATE("R7C",'Mapa final'!$O$16),"")</f>
        <v/>
      </c>
      <c r="Q12" s="53" t="e">
        <f>IF(AND('Mapa final'!#REF!="Muy Alta",'Mapa final'!#REF!="Menor"),CONCATENATE("R7C",'Mapa final'!#REF!),"")</f>
        <v>#REF!</v>
      </c>
      <c r="R12" s="58" t="e">
        <f>IF(AND('Mapa final'!#REF!="Muy Alta",'Mapa final'!#REF!="Menor"),CONCATENATE("R7C",'Mapa final'!#REF!),"")</f>
        <v>#REF!</v>
      </c>
      <c r="S12" s="58" t="e">
        <f>IF(AND('Mapa final'!#REF!="Muy Alta",'Mapa final'!#REF!="Menor"),CONCATENATE("R7C",'Mapa final'!#REF!),"")</f>
        <v>#REF!</v>
      </c>
      <c r="T12" s="58" t="e">
        <f>IF(AND('Mapa final'!#REF!="Muy Alta",'Mapa final'!#REF!="Menor"),CONCATENATE("R7C",'Mapa final'!#REF!),"")</f>
        <v>#REF!</v>
      </c>
      <c r="U12" s="54" t="e">
        <f>IF(AND('Mapa final'!#REF!="Muy Alta",'Mapa final'!#REF!="Menor"),CONCATENATE("R7C",'Mapa final'!#REF!),"")</f>
        <v>#REF!</v>
      </c>
      <c r="V12" s="52" t="str">
        <f>IF(AND('Mapa final'!$Y$16="Muy Alta",'Mapa final'!$AA$16="Moderado"),CONCATENATE("R7C",'Mapa final'!$O$16),"")</f>
        <v/>
      </c>
      <c r="W12" s="53" t="e">
        <f>IF(AND('Mapa final'!#REF!="Muy Alta",'Mapa final'!#REF!="Moderado"),CONCATENATE("R7C",'Mapa final'!#REF!),"")</f>
        <v>#REF!</v>
      </c>
      <c r="X12" s="58" t="e">
        <f>IF(AND('Mapa final'!#REF!="Muy Alta",'Mapa final'!#REF!="Moderado"),CONCATENATE("R7C",'Mapa final'!#REF!),"")</f>
        <v>#REF!</v>
      </c>
      <c r="Y12" s="58" t="e">
        <f>IF(AND('Mapa final'!#REF!="Muy Alta",'Mapa final'!#REF!="Moderado"),CONCATENATE("R7C",'Mapa final'!#REF!),"")</f>
        <v>#REF!</v>
      </c>
      <c r="Z12" s="58" t="e">
        <f>IF(AND('Mapa final'!#REF!="Muy Alta",'Mapa final'!#REF!="Moderado"),CONCATENATE("R7C",'Mapa final'!#REF!),"")</f>
        <v>#REF!</v>
      </c>
      <c r="AA12" s="54" t="e">
        <f>IF(AND('Mapa final'!#REF!="Muy Alta",'Mapa final'!#REF!="Moderado"),CONCATENATE("R7C",'Mapa final'!#REF!),"")</f>
        <v>#REF!</v>
      </c>
      <c r="AB12" s="52" t="str">
        <f>IF(AND('Mapa final'!$Y$16="Muy Alta",'Mapa final'!$AA$16="Mayor"),CONCATENATE("R7C",'Mapa final'!$O$16),"")</f>
        <v/>
      </c>
      <c r="AC12" s="53" t="e">
        <f>IF(AND('Mapa final'!#REF!="Muy Alta",'Mapa final'!#REF!="Mayor"),CONCATENATE("R7C",'Mapa final'!#REF!),"")</f>
        <v>#REF!</v>
      </c>
      <c r="AD12" s="58" t="e">
        <f>IF(AND('Mapa final'!#REF!="Muy Alta",'Mapa final'!#REF!="Mayor"),CONCATENATE("R7C",'Mapa final'!#REF!),"")</f>
        <v>#REF!</v>
      </c>
      <c r="AE12" s="58" t="e">
        <f>IF(AND('Mapa final'!#REF!="Muy Alta",'Mapa final'!#REF!="Mayor"),CONCATENATE("R7C",'Mapa final'!#REF!),"")</f>
        <v>#REF!</v>
      </c>
      <c r="AF12" s="58" t="e">
        <f>IF(AND('Mapa final'!#REF!="Muy Alta",'Mapa final'!#REF!="Mayor"),CONCATENATE("R7C",'Mapa final'!#REF!),"")</f>
        <v>#REF!</v>
      </c>
      <c r="AG12" s="54" t="e">
        <f>IF(AND('Mapa final'!#REF!="Muy Alta",'Mapa final'!#REF!="Mayor"),CONCATENATE("R7C",'Mapa final'!#REF!),"")</f>
        <v>#REF!</v>
      </c>
      <c r="AH12" s="55" t="str">
        <f>IF(AND('Mapa final'!$Y$16="Muy Alta",'Mapa final'!$AA$16="Catastrófico"),CONCATENATE("R7C",'Mapa final'!$O$16),"")</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4"/>
      <c r="AO12" s="331"/>
      <c r="AP12" s="332"/>
      <c r="AQ12" s="332"/>
      <c r="AR12" s="332"/>
      <c r="AS12" s="332"/>
      <c r="AT12" s="33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223"/>
      <c r="C13" s="223"/>
      <c r="D13" s="224"/>
      <c r="E13" s="324"/>
      <c r="F13" s="325"/>
      <c r="G13" s="325"/>
      <c r="H13" s="325"/>
      <c r="I13" s="340"/>
      <c r="J13" s="52" t="e">
        <f>IF(AND('Mapa final'!#REF!="Muy Alta",'Mapa final'!#REF!="Leve"),CONCATENATE("R8C",'Mapa final'!#REF!),"")</f>
        <v>#REF!</v>
      </c>
      <c r="K13" s="53" t="e">
        <f>IF(AND('Mapa final'!#REF!="Muy Alta",'Mapa final'!#REF!="Leve"),CONCATENATE("R8C",'Mapa final'!#REF!),"")</f>
        <v>#REF!</v>
      </c>
      <c r="L13" s="58" t="e">
        <f>IF(AND('Mapa final'!#REF!="Muy Alta",'Mapa final'!#REF!="Leve"),CONCATENATE("R8C",'Mapa final'!#REF!),"")</f>
        <v>#REF!</v>
      </c>
      <c r="M13" s="58" t="e">
        <f>IF(AND('Mapa final'!#REF!="Muy Alta",'Mapa final'!#REF!="Leve"),CONCATENATE("R8C",'Mapa final'!#REF!),"")</f>
        <v>#REF!</v>
      </c>
      <c r="N13" s="58" t="e">
        <f>IF(AND('Mapa final'!#REF!="Muy Alta",'Mapa final'!#REF!="Leve"),CONCATENATE("R8C",'Mapa final'!#REF!),"")</f>
        <v>#REF!</v>
      </c>
      <c r="O13" s="54" t="e">
        <f>IF(AND('Mapa final'!#REF!="Muy Alta",'Mapa final'!#REF!="Leve"),CONCATENATE("R8C",'Mapa final'!#REF!),"")</f>
        <v>#REF!</v>
      </c>
      <c r="P13" s="52" t="e">
        <f>IF(AND('Mapa final'!#REF!="Muy Alta",'Mapa final'!#REF!="Menor"),CONCATENATE("R8C",'Mapa final'!#REF!),"")</f>
        <v>#REF!</v>
      </c>
      <c r="Q13" s="53" t="e">
        <f>IF(AND('Mapa final'!#REF!="Muy Alta",'Mapa final'!#REF!="Menor"),CONCATENATE("R8C",'Mapa final'!#REF!),"")</f>
        <v>#REF!</v>
      </c>
      <c r="R13" s="58" t="e">
        <f>IF(AND('Mapa final'!#REF!="Muy Alta",'Mapa final'!#REF!="Menor"),CONCATENATE("R8C",'Mapa final'!#REF!),"")</f>
        <v>#REF!</v>
      </c>
      <c r="S13" s="58" t="e">
        <f>IF(AND('Mapa final'!#REF!="Muy Alta",'Mapa final'!#REF!="Menor"),CONCATENATE("R8C",'Mapa final'!#REF!),"")</f>
        <v>#REF!</v>
      </c>
      <c r="T13" s="58" t="e">
        <f>IF(AND('Mapa final'!#REF!="Muy Alta",'Mapa final'!#REF!="Menor"),CONCATENATE("R8C",'Mapa final'!#REF!),"")</f>
        <v>#REF!</v>
      </c>
      <c r="U13" s="54" t="e">
        <f>IF(AND('Mapa final'!#REF!="Muy Alta",'Mapa final'!#REF!="Menor"),CONCATENATE("R8C",'Mapa final'!#REF!),"")</f>
        <v>#REF!</v>
      </c>
      <c r="V13" s="52" t="e">
        <f>IF(AND('Mapa final'!#REF!="Muy Alta",'Mapa final'!#REF!="Moderado"),CONCATENATE("R8C",'Mapa final'!#REF!),"")</f>
        <v>#REF!</v>
      </c>
      <c r="W13" s="53" t="e">
        <f>IF(AND('Mapa final'!#REF!="Muy Alta",'Mapa final'!#REF!="Moderado"),CONCATENATE("R8C",'Mapa final'!#REF!),"")</f>
        <v>#REF!</v>
      </c>
      <c r="X13" s="58" t="e">
        <f>IF(AND('Mapa final'!#REF!="Muy Alta",'Mapa final'!#REF!="Moderado"),CONCATENATE("R8C",'Mapa final'!#REF!),"")</f>
        <v>#REF!</v>
      </c>
      <c r="Y13" s="58" t="e">
        <f>IF(AND('Mapa final'!#REF!="Muy Alta",'Mapa final'!#REF!="Moderado"),CONCATENATE("R8C",'Mapa final'!#REF!),"")</f>
        <v>#REF!</v>
      </c>
      <c r="Z13" s="58" t="e">
        <f>IF(AND('Mapa final'!#REF!="Muy Alta",'Mapa final'!#REF!="Moderado"),CONCATENATE("R8C",'Mapa final'!#REF!),"")</f>
        <v>#REF!</v>
      </c>
      <c r="AA13" s="54" t="e">
        <f>IF(AND('Mapa final'!#REF!="Muy Alta",'Mapa final'!#REF!="Moderado"),CONCATENATE("R8C",'Mapa final'!#REF!),"")</f>
        <v>#REF!</v>
      </c>
      <c r="AB13" s="52" t="e">
        <f>IF(AND('Mapa final'!#REF!="Muy Alta",'Mapa final'!#REF!="Mayor"),CONCATENATE("R8C",'Mapa final'!#REF!),"")</f>
        <v>#REF!</v>
      </c>
      <c r="AC13" s="53" t="e">
        <f>IF(AND('Mapa final'!#REF!="Muy Alta",'Mapa final'!#REF!="Mayor"),CONCATENATE("R8C",'Mapa final'!#REF!),"")</f>
        <v>#REF!</v>
      </c>
      <c r="AD13" s="58" t="e">
        <f>IF(AND('Mapa final'!#REF!="Muy Alta",'Mapa final'!#REF!="Mayor"),CONCATENATE("R8C",'Mapa final'!#REF!),"")</f>
        <v>#REF!</v>
      </c>
      <c r="AE13" s="58" t="e">
        <f>IF(AND('Mapa final'!#REF!="Muy Alta",'Mapa final'!#REF!="Mayor"),CONCATENATE("R8C",'Mapa final'!#REF!),"")</f>
        <v>#REF!</v>
      </c>
      <c r="AF13" s="58" t="e">
        <f>IF(AND('Mapa final'!#REF!="Muy Alta",'Mapa final'!#REF!="Mayor"),CONCATENATE("R8C",'Mapa final'!#REF!),"")</f>
        <v>#REF!</v>
      </c>
      <c r="AG13" s="54" t="e">
        <f>IF(AND('Mapa final'!#REF!="Muy Alta",'Mapa final'!#REF!="Mayor"),CONCATENATE("R8C",'Mapa final'!#REF!),"")</f>
        <v>#REF!</v>
      </c>
      <c r="AH13" s="55" t="e">
        <f>IF(AND('Mapa final'!#REF!="Muy Alta",'Mapa final'!#REF!="Catastrófico"),CONCATENATE("R8C",'Mapa final'!#REF!),"")</f>
        <v>#REF!</v>
      </c>
      <c r="AI13" s="56" t="e">
        <f>IF(AND('Mapa final'!#REF!="Muy Alta",'Mapa final'!#REF!="Catastrófico"),CONCATENATE("R8C",'Mapa final'!#REF!),"")</f>
        <v>#REF!</v>
      </c>
      <c r="AJ13" s="56" t="e">
        <f>IF(AND('Mapa final'!#REF!="Muy Alta",'Mapa final'!#REF!="Catastrófico"),CONCATENATE("R8C",'Mapa final'!#REF!),"")</f>
        <v>#REF!</v>
      </c>
      <c r="AK13" s="56" t="e">
        <f>IF(AND('Mapa final'!#REF!="Muy Alta",'Mapa final'!#REF!="Catastrófico"),CONCATENATE("R8C",'Mapa final'!#REF!),"")</f>
        <v>#REF!</v>
      </c>
      <c r="AL13" s="56" t="e">
        <f>IF(AND('Mapa final'!#REF!="Muy Alta",'Mapa final'!#REF!="Catastrófico"),CONCATENATE("R8C",'Mapa final'!#REF!),"")</f>
        <v>#REF!</v>
      </c>
      <c r="AM13" s="57" t="e">
        <f>IF(AND('Mapa final'!#REF!="Muy Alta",'Mapa final'!#REF!="Catastrófico"),CONCATENATE("R8C",'Mapa final'!#REF!),"")</f>
        <v>#REF!</v>
      </c>
      <c r="AN13" s="84"/>
      <c r="AO13" s="331"/>
      <c r="AP13" s="332"/>
      <c r="AQ13" s="332"/>
      <c r="AR13" s="332"/>
      <c r="AS13" s="332"/>
      <c r="AT13" s="33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223"/>
      <c r="C14" s="223"/>
      <c r="D14" s="224"/>
      <c r="E14" s="324"/>
      <c r="F14" s="325"/>
      <c r="G14" s="325"/>
      <c r="H14" s="325"/>
      <c r="I14" s="340"/>
      <c r="J14" s="52" t="e">
        <f>IF(AND('Mapa final'!#REF!="Muy Alta",'Mapa final'!#REF!="Leve"),CONCATENATE("R9C",'Mapa final'!#REF!),"")</f>
        <v>#REF!</v>
      </c>
      <c r="K14" s="53" t="e">
        <f>IF(AND('Mapa final'!#REF!="Muy Alta",'Mapa final'!#REF!="Leve"),CONCATENATE("R9C",'Mapa final'!#REF!),"")</f>
        <v>#REF!</v>
      </c>
      <c r="L14" s="58" t="e">
        <f>IF(AND('Mapa final'!#REF!="Muy Alta",'Mapa final'!#REF!="Leve"),CONCATENATE("R9C",'Mapa final'!#REF!),"")</f>
        <v>#REF!</v>
      </c>
      <c r="M14" s="58" t="e">
        <f>IF(AND('Mapa final'!#REF!="Muy Alta",'Mapa final'!#REF!="Leve"),CONCATENATE("R9C",'Mapa final'!#REF!),"")</f>
        <v>#REF!</v>
      </c>
      <c r="N14" s="58" t="e">
        <f>IF(AND('Mapa final'!#REF!="Muy Alta",'Mapa final'!#REF!="Leve"),CONCATENATE("R9C",'Mapa final'!#REF!),"")</f>
        <v>#REF!</v>
      </c>
      <c r="O14" s="54" t="e">
        <f>IF(AND('Mapa final'!#REF!="Muy Alta",'Mapa final'!#REF!="Leve"),CONCATENATE("R9C",'Mapa final'!#REF!),"")</f>
        <v>#REF!</v>
      </c>
      <c r="P14" s="52" t="e">
        <f>IF(AND('Mapa final'!#REF!="Muy Alta",'Mapa final'!#REF!="Menor"),CONCATENATE("R9C",'Mapa final'!#REF!),"")</f>
        <v>#REF!</v>
      </c>
      <c r="Q14" s="53" t="e">
        <f>IF(AND('Mapa final'!#REF!="Muy Alta",'Mapa final'!#REF!="Menor"),CONCATENATE("R9C",'Mapa final'!#REF!),"")</f>
        <v>#REF!</v>
      </c>
      <c r="R14" s="58" t="e">
        <f>IF(AND('Mapa final'!#REF!="Muy Alta",'Mapa final'!#REF!="Menor"),CONCATENATE("R9C",'Mapa final'!#REF!),"")</f>
        <v>#REF!</v>
      </c>
      <c r="S14" s="58" t="e">
        <f>IF(AND('Mapa final'!#REF!="Muy Alta",'Mapa final'!#REF!="Menor"),CONCATENATE("R9C",'Mapa final'!#REF!),"")</f>
        <v>#REF!</v>
      </c>
      <c r="T14" s="58" t="e">
        <f>IF(AND('Mapa final'!#REF!="Muy Alta",'Mapa final'!#REF!="Menor"),CONCATENATE("R9C",'Mapa final'!#REF!),"")</f>
        <v>#REF!</v>
      </c>
      <c r="U14" s="54" t="e">
        <f>IF(AND('Mapa final'!#REF!="Muy Alta",'Mapa final'!#REF!="Menor"),CONCATENATE("R9C",'Mapa final'!#REF!),"")</f>
        <v>#REF!</v>
      </c>
      <c r="V14" s="52" t="e">
        <f>IF(AND('Mapa final'!#REF!="Muy Alta",'Mapa final'!#REF!="Moderado"),CONCATENATE("R9C",'Mapa final'!#REF!),"")</f>
        <v>#REF!</v>
      </c>
      <c r="W14" s="53" t="e">
        <f>IF(AND('Mapa final'!#REF!="Muy Alta",'Mapa final'!#REF!="Moderado"),CONCATENATE("R9C",'Mapa final'!#REF!),"")</f>
        <v>#REF!</v>
      </c>
      <c r="X14" s="58" t="e">
        <f>IF(AND('Mapa final'!#REF!="Muy Alta",'Mapa final'!#REF!="Moderado"),CONCATENATE("R9C",'Mapa final'!#REF!),"")</f>
        <v>#REF!</v>
      </c>
      <c r="Y14" s="58" t="e">
        <f>IF(AND('Mapa final'!#REF!="Muy Alta",'Mapa final'!#REF!="Moderado"),CONCATENATE("R9C",'Mapa final'!#REF!),"")</f>
        <v>#REF!</v>
      </c>
      <c r="Z14" s="58" t="e">
        <f>IF(AND('Mapa final'!#REF!="Muy Alta",'Mapa final'!#REF!="Moderado"),CONCATENATE("R9C",'Mapa final'!#REF!),"")</f>
        <v>#REF!</v>
      </c>
      <c r="AA14" s="54" t="e">
        <f>IF(AND('Mapa final'!#REF!="Muy Alta",'Mapa final'!#REF!="Moderado"),CONCATENATE("R9C",'Mapa final'!#REF!),"")</f>
        <v>#REF!</v>
      </c>
      <c r="AB14" s="52" t="e">
        <f>IF(AND('Mapa final'!#REF!="Muy Alta",'Mapa final'!#REF!="Mayor"),CONCATENATE("R9C",'Mapa final'!#REF!),"")</f>
        <v>#REF!</v>
      </c>
      <c r="AC14" s="53" t="e">
        <f>IF(AND('Mapa final'!#REF!="Muy Alta",'Mapa final'!#REF!="Mayor"),CONCATENATE("R9C",'Mapa final'!#REF!),"")</f>
        <v>#REF!</v>
      </c>
      <c r="AD14" s="58" t="e">
        <f>IF(AND('Mapa final'!#REF!="Muy Alta",'Mapa final'!#REF!="Mayor"),CONCATENATE("R9C",'Mapa final'!#REF!),"")</f>
        <v>#REF!</v>
      </c>
      <c r="AE14" s="58" t="e">
        <f>IF(AND('Mapa final'!#REF!="Muy Alta",'Mapa final'!#REF!="Mayor"),CONCATENATE("R9C",'Mapa final'!#REF!),"")</f>
        <v>#REF!</v>
      </c>
      <c r="AF14" s="58" t="e">
        <f>IF(AND('Mapa final'!#REF!="Muy Alta",'Mapa final'!#REF!="Mayor"),CONCATENATE("R9C",'Mapa final'!#REF!),"")</f>
        <v>#REF!</v>
      </c>
      <c r="AG14" s="54" t="e">
        <f>IF(AND('Mapa final'!#REF!="Muy Alta",'Mapa final'!#REF!="Mayor"),CONCATENATE("R9C",'Mapa final'!#REF!),"")</f>
        <v>#REF!</v>
      </c>
      <c r="AH14" s="55" t="e">
        <f>IF(AND('Mapa final'!#REF!="Muy Alta",'Mapa final'!#REF!="Catastrófico"),CONCATENATE("R9C",'Mapa final'!#REF!),"")</f>
        <v>#REF!</v>
      </c>
      <c r="AI14" s="56" t="e">
        <f>IF(AND('Mapa final'!#REF!="Muy Alta",'Mapa final'!#REF!="Catastrófico"),CONCATENATE("R9C",'Mapa final'!#REF!),"")</f>
        <v>#REF!</v>
      </c>
      <c r="AJ14" s="56" t="e">
        <f>IF(AND('Mapa final'!#REF!="Muy Alta",'Mapa final'!#REF!="Catastrófico"),CONCATENATE("R9C",'Mapa final'!#REF!),"")</f>
        <v>#REF!</v>
      </c>
      <c r="AK14" s="56" t="e">
        <f>IF(AND('Mapa final'!#REF!="Muy Alta",'Mapa final'!#REF!="Catastrófico"),CONCATENATE("R9C",'Mapa final'!#REF!),"")</f>
        <v>#REF!</v>
      </c>
      <c r="AL14" s="56" t="e">
        <f>IF(AND('Mapa final'!#REF!="Muy Alta",'Mapa final'!#REF!="Catastrófico"),CONCATENATE("R9C",'Mapa final'!#REF!),"")</f>
        <v>#REF!</v>
      </c>
      <c r="AM14" s="57" t="e">
        <f>IF(AND('Mapa final'!#REF!="Muy Alta",'Mapa final'!#REF!="Catastrófico"),CONCATENATE("R9C",'Mapa final'!#REF!),"")</f>
        <v>#REF!</v>
      </c>
      <c r="AN14" s="84"/>
      <c r="AO14" s="331"/>
      <c r="AP14" s="332"/>
      <c r="AQ14" s="332"/>
      <c r="AR14" s="332"/>
      <c r="AS14" s="332"/>
      <c r="AT14" s="33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223"/>
      <c r="C15" s="223"/>
      <c r="D15" s="224"/>
      <c r="E15" s="326"/>
      <c r="F15" s="327"/>
      <c r="G15" s="327"/>
      <c r="H15" s="327"/>
      <c r="I15" s="341"/>
      <c r="J15" s="59" t="e">
        <f>IF(AND('Mapa final'!#REF!="Muy Alta",'Mapa final'!#REF!="Leve"),CONCATENATE("R10C",'Mapa final'!#REF!),"")</f>
        <v>#REF!</v>
      </c>
      <c r="K15" s="60" t="e">
        <f>IF(AND('Mapa final'!#REF!="Muy Alta",'Mapa final'!#REF!="Leve"),CONCATENATE("R10C",'Mapa final'!#REF!),"")</f>
        <v>#REF!</v>
      </c>
      <c r="L15" s="60" t="e">
        <f>IF(AND('Mapa final'!#REF!="Muy Alta",'Mapa final'!#REF!="Leve"),CONCATENATE("R10C",'Mapa final'!#REF!),"")</f>
        <v>#REF!</v>
      </c>
      <c r="M15" s="60" t="e">
        <f>IF(AND('Mapa final'!#REF!="Muy Alta",'Mapa final'!#REF!="Leve"),CONCATENATE("R10C",'Mapa final'!#REF!),"")</f>
        <v>#REF!</v>
      </c>
      <c r="N15" s="60" t="e">
        <f>IF(AND('Mapa final'!#REF!="Muy Alta",'Mapa final'!#REF!="Leve"),CONCATENATE("R10C",'Mapa final'!#REF!),"")</f>
        <v>#REF!</v>
      </c>
      <c r="O15" s="61" t="e">
        <f>IF(AND('Mapa final'!#REF!="Muy Alta",'Mapa final'!#REF!="Leve"),CONCATENATE("R10C",'Mapa final'!#REF!),"")</f>
        <v>#REF!</v>
      </c>
      <c r="P15" s="52" t="e">
        <f>IF(AND('Mapa final'!#REF!="Muy Alta",'Mapa final'!#REF!="Menor"),CONCATENATE("R10C",'Mapa final'!#REF!),"")</f>
        <v>#REF!</v>
      </c>
      <c r="Q15" s="53" t="e">
        <f>IF(AND('Mapa final'!#REF!="Muy Alta",'Mapa final'!#REF!="Menor"),CONCATENATE("R10C",'Mapa final'!#REF!),"")</f>
        <v>#REF!</v>
      </c>
      <c r="R15" s="53" t="e">
        <f>IF(AND('Mapa final'!#REF!="Muy Alta",'Mapa final'!#REF!="Menor"),CONCATENATE("R10C",'Mapa final'!#REF!),"")</f>
        <v>#REF!</v>
      </c>
      <c r="S15" s="53" t="e">
        <f>IF(AND('Mapa final'!#REF!="Muy Alta",'Mapa final'!#REF!="Menor"),CONCATENATE("R10C",'Mapa final'!#REF!),"")</f>
        <v>#REF!</v>
      </c>
      <c r="T15" s="53" t="e">
        <f>IF(AND('Mapa final'!#REF!="Muy Alta",'Mapa final'!#REF!="Menor"),CONCATENATE("R10C",'Mapa final'!#REF!),"")</f>
        <v>#REF!</v>
      </c>
      <c r="U15" s="54" t="e">
        <f>IF(AND('Mapa final'!#REF!="Muy Alta",'Mapa final'!#REF!="Menor"),CONCATENATE("R10C",'Mapa final'!#REF!),"")</f>
        <v>#REF!</v>
      </c>
      <c r="V15" s="59" t="e">
        <f>IF(AND('Mapa final'!#REF!="Muy Alta",'Mapa final'!#REF!="Moderado"),CONCATENATE("R10C",'Mapa final'!#REF!),"")</f>
        <v>#REF!</v>
      </c>
      <c r="W15" s="60" t="e">
        <f>IF(AND('Mapa final'!#REF!="Muy Alta",'Mapa final'!#REF!="Moderado"),CONCATENATE("R10C",'Mapa final'!#REF!),"")</f>
        <v>#REF!</v>
      </c>
      <c r="X15" s="60" t="e">
        <f>IF(AND('Mapa final'!#REF!="Muy Alta",'Mapa final'!#REF!="Moderado"),CONCATENATE("R10C",'Mapa final'!#REF!),"")</f>
        <v>#REF!</v>
      </c>
      <c r="Y15" s="60" t="e">
        <f>IF(AND('Mapa final'!#REF!="Muy Alta",'Mapa final'!#REF!="Moderado"),CONCATENATE("R10C",'Mapa final'!#REF!),"")</f>
        <v>#REF!</v>
      </c>
      <c r="Z15" s="60" t="e">
        <f>IF(AND('Mapa final'!#REF!="Muy Alta",'Mapa final'!#REF!="Moderado"),CONCATENATE("R10C",'Mapa final'!#REF!),"")</f>
        <v>#REF!</v>
      </c>
      <c r="AA15" s="61" t="e">
        <f>IF(AND('Mapa final'!#REF!="Muy Alta",'Mapa final'!#REF!="Moderado"),CONCATENATE("R10C",'Mapa final'!#REF!),"")</f>
        <v>#REF!</v>
      </c>
      <c r="AB15" s="52" t="e">
        <f>IF(AND('Mapa final'!#REF!="Muy Alta",'Mapa final'!#REF!="Mayor"),CONCATENATE("R10C",'Mapa final'!#REF!),"")</f>
        <v>#REF!</v>
      </c>
      <c r="AC15" s="53" t="e">
        <f>IF(AND('Mapa final'!#REF!="Muy Alta",'Mapa final'!#REF!="Mayor"),CONCATENATE("R10C",'Mapa final'!#REF!),"")</f>
        <v>#REF!</v>
      </c>
      <c r="AD15" s="53" t="e">
        <f>IF(AND('Mapa final'!#REF!="Muy Alta",'Mapa final'!#REF!="Mayor"),CONCATENATE("R10C",'Mapa final'!#REF!),"")</f>
        <v>#REF!</v>
      </c>
      <c r="AE15" s="53" t="e">
        <f>IF(AND('Mapa final'!#REF!="Muy Alta",'Mapa final'!#REF!="Mayor"),CONCATENATE("R10C",'Mapa final'!#REF!),"")</f>
        <v>#REF!</v>
      </c>
      <c r="AF15" s="53" t="e">
        <f>IF(AND('Mapa final'!#REF!="Muy Alta",'Mapa final'!#REF!="Mayor"),CONCATENATE("R10C",'Mapa final'!#REF!),"")</f>
        <v>#REF!</v>
      </c>
      <c r="AG15" s="54" t="e">
        <f>IF(AND('Mapa final'!#REF!="Muy Alta",'Mapa final'!#REF!="Mayor"),CONCATENATE("R10C",'Mapa final'!#REF!),"")</f>
        <v>#REF!</v>
      </c>
      <c r="AH15" s="62" t="e">
        <f>IF(AND('Mapa final'!#REF!="Muy Alta",'Mapa final'!#REF!="Catastrófico"),CONCATENATE("R10C",'Mapa final'!#REF!),"")</f>
        <v>#REF!</v>
      </c>
      <c r="AI15" s="63" t="e">
        <f>IF(AND('Mapa final'!#REF!="Muy Alta",'Mapa final'!#REF!="Catastrófico"),CONCATENATE("R10C",'Mapa final'!#REF!),"")</f>
        <v>#REF!</v>
      </c>
      <c r="AJ15" s="63" t="e">
        <f>IF(AND('Mapa final'!#REF!="Muy Alta",'Mapa final'!#REF!="Catastrófico"),CONCATENATE("R10C",'Mapa final'!#REF!),"")</f>
        <v>#REF!</v>
      </c>
      <c r="AK15" s="63" t="e">
        <f>IF(AND('Mapa final'!#REF!="Muy Alta",'Mapa final'!#REF!="Catastrófico"),CONCATENATE("R10C",'Mapa final'!#REF!),"")</f>
        <v>#REF!</v>
      </c>
      <c r="AL15" s="63" t="e">
        <f>IF(AND('Mapa final'!#REF!="Muy Alta",'Mapa final'!#REF!="Catastrófico"),CONCATENATE("R10C",'Mapa final'!#REF!),"")</f>
        <v>#REF!</v>
      </c>
      <c r="AM15" s="64" t="e">
        <f>IF(AND('Mapa final'!#REF!="Muy Alta",'Mapa final'!#REF!="Catastrófico"),CONCATENATE("R10C",'Mapa final'!#REF!),"")</f>
        <v>#REF!</v>
      </c>
      <c r="AN15" s="84"/>
      <c r="AO15" s="334"/>
      <c r="AP15" s="335"/>
      <c r="AQ15" s="335"/>
      <c r="AR15" s="335"/>
      <c r="AS15" s="335"/>
      <c r="AT15" s="33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223"/>
      <c r="C16" s="223"/>
      <c r="D16" s="224"/>
      <c r="E16" s="320" t="s">
        <v>115</v>
      </c>
      <c r="F16" s="321"/>
      <c r="G16" s="321"/>
      <c r="H16" s="321"/>
      <c r="I16" s="321"/>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11" t="s">
        <v>80</v>
      </c>
      <c r="AP16" s="312"/>
      <c r="AQ16" s="312"/>
      <c r="AR16" s="312"/>
      <c r="AS16" s="312"/>
      <c r="AT16" s="313"/>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223"/>
      <c r="C17" s="223"/>
      <c r="D17" s="224"/>
      <c r="E17" s="322"/>
      <c r="F17" s="323"/>
      <c r="G17" s="323"/>
      <c r="H17" s="323"/>
      <c r="I17" s="323"/>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14"/>
      <c r="AP17" s="315"/>
      <c r="AQ17" s="315"/>
      <c r="AR17" s="315"/>
      <c r="AS17" s="315"/>
      <c r="AT17" s="31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223"/>
      <c r="C18" s="223"/>
      <c r="D18" s="224"/>
      <c r="E18" s="324"/>
      <c r="F18" s="325"/>
      <c r="G18" s="325"/>
      <c r="H18" s="325"/>
      <c r="I18" s="323"/>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14"/>
      <c r="AP18" s="315"/>
      <c r="AQ18" s="315"/>
      <c r="AR18" s="315"/>
      <c r="AS18" s="315"/>
      <c r="AT18" s="31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223"/>
      <c r="C19" s="223"/>
      <c r="D19" s="224"/>
      <c r="E19" s="324"/>
      <c r="F19" s="325"/>
      <c r="G19" s="325"/>
      <c r="H19" s="325"/>
      <c r="I19" s="323"/>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R4C1</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14"/>
      <c r="AP19" s="315"/>
      <c r="AQ19" s="315"/>
      <c r="AR19" s="315"/>
      <c r="AS19" s="315"/>
      <c r="AT19" s="31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223"/>
      <c r="C20" s="223"/>
      <c r="D20" s="224"/>
      <c r="E20" s="324"/>
      <c r="F20" s="325"/>
      <c r="G20" s="325"/>
      <c r="H20" s="325"/>
      <c r="I20" s="323"/>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R5C1</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14"/>
      <c r="AP20" s="315"/>
      <c r="AQ20" s="315"/>
      <c r="AR20" s="315"/>
      <c r="AS20" s="315"/>
      <c r="AT20" s="31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223"/>
      <c r="C21" s="223"/>
      <c r="D21" s="224"/>
      <c r="E21" s="324"/>
      <c r="F21" s="325"/>
      <c r="G21" s="325"/>
      <c r="H21" s="325"/>
      <c r="I21" s="323"/>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14"/>
      <c r="AP21" s="315"/>
      <c r="AQ21" s="315"/>
      <c r="AR21" s="315"/>
      <c r="AS21" s="315"/>
      <c r="AT21" s="316"/>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223"/>
      <c r="C22" s="223"/>
      <c r="D22" s="224"/>
      <c r="E22" s="324"/>
      <c r="F22" s="325"/>
      <c r="G22" s="325"/>
      <c r="H22" s="325"/>
      <c r="I22" s="323"/>
      <c r="J22" s="68" t="str">
        <f>IF(AND('Mapa final'!$Y$16="Alta",'Mapa final'!$AA$16="Leve"),CONCATENATE("R7C",'Mapa final'!$O$16),"")</f>
        <v/>
      </c>
      <c r="K22" s="69" t="e">
        <f>IF(AND('Mapa final'!#REF!="Alta",'Mapa final'!#REF!="Leve"),CONCATENATE("R7C",'Mapa final'!#REF!),"")</f>
        <v>#REF!</v>
      </c>
      <c r="L22" s="69" t="e">
        <f>IF(AND('Mapa final'!#REF!="Alta",'Mapa final'!#REF!="Leve"),CONCATENATE("R7C",'Mapa final'!#REF!),"")</f>
        <v>#REF!</v>
      </c>
      <c r="M22" s="69" t="e">
        <f>IF(AND('Mapa final'!#REF!="Alta",'Mapa final'!#REF!="Leve"),CONCATENATE("R7C",'Mapa final'!#REF!),"")</f>
        <v>#REF!</v>
      </c>
      <c r="N22" s="69" t="e">
        <f>IF(AND('Mapa final'!#REF!="Alta",'Mapa final'!#REF!="Leve"),CONCATENATE("R7C",'Mapa final'!#REF!),"")</f>
        <v>#REF!</v>
      </c>
      <c r="O22" s="70" t="e">
        <f>IF(AND('Mapa final'!#REF!="Alta",'Mapa final'!#REF!="Leve"),CONCATENATE("R7C",'Mapa final'!#REF!),"")</f>
        <v>#REF!</v>
      </c>
      <c r="P22" s="68" t="str">
        <f>IF(AND('Mapa final'!$Y$16="Alta",'Mapa final'!$AA$16="Menor"),CONCATENATE("R7C",'Mapa final'!$O$16),"")</f>
        <v/>
      </c>
      <c r="Q22" s="69" t="e">
        <f>IF(AND('Mapa final'!#REF!="Alta",'Mapa final'!#REF!="Menor"),CONCATENATE("R7C",'Mapa final'!#REF!),"")</f>
        <v>#REF!</v>
      </c>
      <c r="R22" s="69" t="e">
        <f>IF(AND('Mapa final'!#REF!="Alta",'Mapa final'!#REF!="Menor"),CONCATENATE("R7C",'Mapa final'!#REF!),"")</f>
        <v>#REF!</v>
      </c>
      <c r="S22" s="69" t="e">
        <f>IF(AND('Mapa final'!#REF!="Alta",'Mapa final'!#REF!="Menor"),CONCATENATE("R7C",'Mapa final'!#REF!),"")</f>
        <v>#REF!</v>
      </c>
      <c r="T22" s="69" t="e">
        <f>IF(AND('Mapa final'!#REF!="Alta",'Mapa final'!#REF!="Menor"),CONCATENATE("R7C",'Mapa final'!#REF!),"")</f>
        <v>#REF!</v>
      </c>
      <c r="U22" s="70" t="e">
        <f>IF(AND('Mapa final'!#REF!="Alta",'Mapa final'!#REF!="Menor"),CONCATENATE("R7C",'Mapa final'!#REF!),"")</f>
        <v>#REF!</v>
      </c>
      <c r="V22" s="52" t="str">
        <f>IF(AND('Mapa final'!$Y$16="Alta",'Mapa final'!$AA$16="Moderado"),CONCATENATE("R7C",'Mapa final'!$O$16),"")</f>
        <v/>
      </c>
      <c r="W22" s="53" t="e">
        <f>IF(AND('Mapa final'!#REF!="Alta",'Mapa final'!#REF!="Moderado"),CONCATENATE("R7C",'Mapa final'!#REF!),"")</f>
        <v>#REF!</v>
      </c>
      <c r="X22" s="58" t="e">
        <f>IF(AND('Mapa final'!#REF!="Alta",'Mapa final'!#REF!="Moderado"),CONCATENATE("R7C",'Mapa final'!#REF!),"")</f>
        <v>#REF!</v>
      </c>
      <c r="Y22" s="58" t="e">
        <f>IF(AND('Mapa final'!#REF!="Alta",'Mapa final'!#REF!="Moderado"),CONCATENATE("R7C",'Mapa final'!#REF!),"")</f>
        <v>#REF!</v>
      </c>
      <c r="Z22" s="58" t="e">
        <f>IF(AND('Mapa final'!#REF!="Alta",'Mapa final'!#REF!="Moderado"),CONCATENATE("R7C",'Mapa final'!#REF!),"")</f>
        <v>#REF!</v>
      </c>
      <c r="AA22" s="54" t="e">
        <f>IF(AND('Mapa final'!#REF!="Alta",'Mapa final'!#REF!="Moderado"),CONCATENATE("R7C",'Mapa final'!#REF!),"")</f>
        <v>#REF!</v>
      </c>
      <c r="AB22" s="52" t="str">
        <f>IF(AND('Mapa final'!$Y$16="Alta",'Mapa final'!$AA$16="Mayor"),CONCATENATE("R7C",'Mapa final'!$O$16),"")</f>
        <v/>
      </c>
      <c r="AC22" s="53" t="e">
        <f>IF(AND('Mapa final'!#REF!="Alta",'Mapa final'!#REF!="Mayor"),CONCATENATE("R7C",'Mapa final'!#REF!),"")</f>
        <v>#REF!</v>
      </c>
      <c r="AD22" s="58" t="e">
        <f>IF(AND('Mapa final'!#REF!="Alta",'Mapa final'!#REF!="Mayor"),CONCATENATE("R7C",'Mapa final'!#REF!),"")</f>
        <v>#REF!</v>
      </c>
      <c r="AE22" s="58" t="e">
        <f>IF(AND('Mapa final'!#REF!="Alta",'Mapa final'!#REF!="Mayor"),CONCATENATE("R7C",'Mapa final'!#REF!),"")</f>
        <v>#REF!</v>
      </c>
      <c r="AF22" s="58" t="e">
        <f>IF(AND('Mapa final'!#REF!="Alta",'Mapa final'!#REF!="Mayor"),CONCATENATE("R7C",'Mapa final'!#REF!),"")</f>
        <v>#REF!</v>
      </c>
      <c r="AG22" s="54" t="e">
        <f>IF(AND('Mapa final'!#REF!="Alta",'Mapa final'!#REF!="Mayor"),CONCATENATE("R7C",'Mapa final'!#REF!),"")</f>
        <v>#REF!</v>
      </c>
      <c r="AH22" s="55" t="str">
        <f>IF(AND('Mapa final'!$Y$16="Alta",'Mapa final'!$AA$16="Catastrófico"),CONCATENATE("R7C",'Mapa final'!$O$16),"")</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4"/>
      <c r="AO22" s="314"/>
      <c r="AP22" s="315"/>
      <c r="AQ22" s="315"/>
      <c r="AR22" s="315"/>
      <c r="AS22" s="315"/>
      <c r="AT22" s="316"/>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223"/>
      <c r="C23" s="223"/>
      <c r="D23" s="224"/>
      <c r="E23" s="324"/>
      <c r="F23" s="325"/>
      <c r="G23" s="325"/>
      <c r="H23" s="325"/>
      <c r="I23" s="323"/>
      <c r="J23" s="68" t="e">
        <f>IF(AND('Mapa final'!#REF!="Alta",'Mapa final'!#REF!="Leve"),CONCATENATE("R8C",'Mapa final'!#REF!),"")</f>
        <v>#REF!</v>
      </c>
      <c r="K23" s="69" t="e">
        <f>IF(AND('Mapa final'!#REF!="Alta",'Mapa final'!#REF!="Leve"),CONCATENATE("R8C",'Mapa final'!#REF!),"")</f>
        <v>#REF!</v>
      </c>
      <c r="L23" s="69" t="e">
        <f>IF(AND('Mapa final'!#REF!="Alta",'Mapa final'!#REF!="Leve"),CONCATENATE("R8C",'Mapa final'!#REF!),"")</f>
        <v>#REF!</v>
      </c>
      <c r="M23" s="69" t="e">
        <f>IF(AND('Mapa final'!#REF!="Alta",'Mapa final'!#REF!="Leve"),CONCATENATE("R8C",'Mapa final'!#REF!),"")</f>
        <v>#REF!</v>
      </c>
      <c r="N23" s="69" t="e">
        <f>IF(AND('Mapa final'!#REF!="Alta",'Mapa final'!#REF!="Leve"),CONCATENATE("R8C",'Mapa final'!#REF!),"")</f>
        <v>#REF!</v>
      </c>
      <c r="O23" s="70" t="e">
        <f>IF(AND('Mapa final'!#REF!="Alta",'Mapa final'!#REF!="Leve"),CONCATENATE("R8C",'Mapa final'!#REF!),"")</f>
        <v>#REF!</v>
      </c>
      <c r="P23" s="68" t="e">
        <f>IF(AND('Mapa final'!#REF!="Alta",'Mapa final'!#REF!="Menor"),CONCATENATE("R8C",'Mapa final'!#REF!),"")</f>
        <v>#REF!</v>
      </c>
      <c r="Q23" s="69" t="e">
        <f>IF(AND('Mapa final'!#REF!="Alta",'Mapa final'!#REF!="Menor"),CONCATENATE("R8C",'Mapa final'!#REF!),"")</f>
        <v>#REF!</v>
      </c>
      <c r="R23" s="69" t="e">
        <f>IF(AND('Mapa final'!#REF!="Alta",'Mapa final'!#REF!="Menor"),CONCATENATE("R8C",'Mapa final'!#REF!),"")</f>
        <v>#REF!</v>
      </c>
      <c r="S23" s="69" t="e">
        <f>IF(AND('Mapa final'!#REF!="Alta",'Mapa final'!#REF!="Menor"),CONCATENATE("R8C",'Mapa final'!#REF!),"")</f>
        <v>#REF!</v>
      </c>
      <c r="T23" s="69" t="e">
        <f>IF(AND('Mapa final'!#REF!="Alta",'Mapa final'!#REF!="Menor"),CONCATENATE("R8C",'Mapa final'!#REF!),"")</f>
        <v>#REF!</v>
      </c>
      <c r="U23" s="70" t="e">
        <f>IF(AND('Mapa final'!#REF!="Alta",'Mapa final'!#REF!="Menor"),CONCATENATE("R8C",'Mapa final'!#REF!),"")</f>
        <v>#REF!</v>
      </c>
      <c r="V23" s="52" t="e">
        <f>IF(AND('Mapa final'!#REF!="Alta",'Mapa final'!#REF!="Moderado"),CONCATENATE("R8C",'Mapa final'!#REF!),"")</f>
        <v>#REF!</v>
      </c>
      <c r="W23" s="53" t="e">
        <f>IF(AND('Mapa final'!#REF!="Alta",'Mapa final'!#REF!="Moderado"),CONCATENATE("R8C",'Mapa final'!#REF!),"")</f>
        <v>#REF!</v>
      </c>
      <c r="X23" s="58" t="e">
        <f>IF(AND('Mapa final'!#REF!="Alta",'Mapa final'!#REF!="Moderado"),CONCATENATE("R8C",'Mapa final'!#REF!),"")</f>
        <v>#REF!</v>
      </c>
      <c r="Y23" s="58" t="e">
        <f>IF(AND('Mapa final'!#REF!="Alta",'Mapa final'!#REF!="Moderado"),CONCATENATE("R8C",'Mapa final'!#REF!),"")</f>
        <v>#REF!</v>
      </c>
      <c r="Z23" s="58" t="e">
        <f>IF(AND('Mapa final'!#REF!="Alta",'Mapa final'!#REF!="Moderado"),CONCATENATE("R8C",'Mapa final'!#REF!),"")</f>
        <v>#REF!</v>
      </c>
      <c r="AA23" s="54" t="e">
        <f>IF(AND('Mapa final'!#REF!="Alta",'Mapa final'!#REF!="Moderado"),CONCATENATE("R8C",'Mapa final'!#REF!),"")</f>
        <v>#REF!</v>
      </c>
      <c r="AB23" s="52" t="e">
        <f>IF(AND('Mapa final'!#REF!="Alta",'Mapa final'!#REF!="Mayor"),CONCATENATE("R8C",'Mapa final'!#REF!),"")</f>
        <v>#REF!</v>
      </c>
      <c r="AC23" s="53" t="e">
        <f>IF(AND('Mapa final'!#REF!="Alta",'Mapa final'!#REF!="Mayor"),CONCATENATE("R8C",'Mapa final'!#REF!),"")</f>
        <v>#REF!</v>
      </c>
      <c r="AD23" s="58" t="e">
        <f>IF(AND('Mapa final'!#REF!="Alta",'Mapa final'!#REF!="Mayor"),CONCATENATE("R8C",'Mapa final'!#REF!),"")</f>
        <v>#REF!</v>
      </c>
      <c r="AE23" s="58" t="e">
        <f>IF(AND('Mapa final'!#REF!="Alta",'Mapa final'!#REF!="Mayor"),CONCATENATE("R8C",'Mapa final'!#REF!),"")</f>
        <v>#REF!</v>
      </c>
      <c r="AF23" s="58" t="e">
        <f>IF(AND('Mapa final'!#REF!="Alta",'Mapa final'!#REF!="Mayor"),CONCATENATE("R8C",'Mapa final'!#REF!),"")</f>
        <v>#REF!</v>
      </c>
      <c r="AG23" s="54" t="e">
        <f>IF(AND('Mapa final'!#REF!="Alta",'Mapa final'!#REF!="Mayor"),CONCATENATE("R8C",'Mapa final'!#REF!),"")</f>
        <v>#REF!</v>
      </c>
      <c r="AH23" s="55" t="e">
        <f>IF(AND('Mapa final'!#REF!="Alta",'Mapa final'!#REF!="Catastrófico"),CONCATENATE("R8C",'Mapa final'!#REF!),"")</f>
        <v>#REF!</v>
      </c>
      <c r="AI23" s="56" t="e">
        <f>IF(AND('Mapa final'!#REF!="Alta",'Mapa final'!#REF!="Catastrófico"),CONCATENATE("R8C",'Mapa final'!#REF!),"")</f>
        <v>#REF!</v>
      </c>
      <c r="AJ23" s="56" t="e">
        <f>IF(AND('Mapa final'!#REF!="Alta",'Mapa final'!#REF!="Catastrófico"),CONCATENATE("R8C",'Mapa final'!#REF!),"")</f>
        <v>#REF!</v>
      </c>
      <c r="AK23" s="56" t="e">
        <f>IF(AND('Mapa final'!#REF!="Alta",'Mapa final'!#REF!="Catastrófico"),CONCATENATE("R8C",'Mapa final'!#REF!),"")</f>
        <v>#REF!</v>
      </c>
      <c r="AL23" s="56" t="e">
        <f>IF(AND('Mapa final'!#REF!="Alta",'Mapa final'!#REF!="Catastrófico"),CONCATENATE("R8C",'Mapa final'!#REF!),"")</f>
        <v>#REF!</v>
      </c>
      <c r="AM23" s="57" t="e">
        <f>IF(AND('Mapa final'!#REF!="Alta",'Mapa final'!#REF!="Catastrófico"),CONCATENATE("R8C",'Mapa final'!#REF!),"")</f>
        <v>#REF!</v>
      </c>
      <c r="AN23" s="84"/>
      <c r="AO23" s="314"/>
      <c r="AP23" s="315"/>
      <c r="AQ23" s="315"/>
      <c r="AR23" s="315"/>
      <c r="AS23" s="315"/>
      <c r="AT23" s="31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223"/>
      <c r="C24" s="223"/>
      <c r="D24" s="224"/>
      <c r="E24" s="324"/>
      <c r="F24" s="325"/>
      <c r="G24" s="325"/>
      <c r="H24" s="325"/>
      <c r="I24" s="323"/>
      <c r="J24" s="68" t="e">
        <f>IF(AND('Mapa final'!#REF!="Alta",'Mapa final'!#REF!="Leve"),CONCATENATE("R9C",'Mapa final'!#REF!),"")</f>
        <v>#REF!</v>
      </c>
      <c r="K24" s="69" t="e">
        <f>IF(AND('Mapa final'!#REF!="Alta",'Mapa final'!#REF!="Leve"),CONCATENATE("R9C",'Mapa final'!#REF!),"")</f>
        <v>#REF!</v>
      </c>
      <c r="L24" s="69" t="e">
        <f>IF(AND('Mapa final'!#REF!="Alta",'Mapa final'!#REF!="Leve"),CONCATENATE("R9C",'Mapa final'!#REF!),"")</f>
        <v>#REF!</v>
      </c>
      <c r="M24" s="69" t="e">
        <f>IF(AND('Mapa final'!#REF!="Alta",'Mapa final'!#REF!="Leve"),CONCATENATE("R9C",'Mapa final'!#REF!),"")</f>
        <v>#REF!</v>
      </c>
      <c r="N24" s="69" t="e">
        <f>IF(AND('Mapa final'!#REF!="Alta",'Mapa final'!#REF!="Leve"),CONCATENATE("R9C",'Mapa final'!#REF!),"")</f>
        <v>#REF!</v>
      </c>
      <c r="O24" s="70" t="e">
        <f>IF(AND('Mapa final'!#REF!="Alta",'Mapa final'!#REF!="Leve"),CONCATENATE("R9C",'Mapa final'!#REF!),"")</f>
        <v>#REF!</v>
      </c>
      <c r="P24" s="68" t="e">
        <f>IF(AND('Mapa final'!#REF!="Alta",'Mapa final'!#REF!="Menor"),CONCATENATE("R9C",'Mapa final'!#REF!),"")</f>
        <v>#REF!</v>
      </c>
      <c r="Q24" s="69" t="e">
        <f>IF(AND('Mapa final'!#REF!="Alta",'Mapa final'!#REF!="Menor"),CONCATENATE("R9C",'Mapa final'!#REF!),"")</f>
        <v>#REF!</v>
      </c>
      <c r="R24" s="69" t="e">
        <f>IF(AND('Mapa final'!#REF!="Alta",'Mapa final'!#REF!="Menor"),CONCATENATE("R9C",'Mapa final'!#REF!),"")</f>
        <v>#REF!</v>
      </c>
      <c r="S24" s="69" t="e">
        <f>IF(AND('Mapa final'!#REF!="Alta",'Mapa final'!#REF!="Menor"),CONCATENATE("R9C",'Mapa final'!#REF!),"")</f>
        <v>#REF!</v>
      </c>
      <c r="T24" s="69" t="e">
        <f>IF(AND('Mapa final'!#REF!="Alta",'Mapa final'!#REF!="Menor"),CONCATENATE("R9C",'Mapa final'!#REF!),"")</f>
        <v>#REF!</v>
      </c>
      <c r="U24" s="70" t="e">
        <f>IF(AND('Mapa final'!#REF!="Alta",'Mapa final'!#REF!="Menor"),CONCATENATE("R9C",'Mapa final'!#REF!),"")</f>
        <v>#REF!</v>
      </c>
      <c r="V24" s="52" t="e">
        <f>IF(AND('Mapa final'!#REF!="Alta",'Mapa final'!#REF!="Moderado"),CONCATENATE("R9C",'Mapa final'!#REF!),"")</f>
        <v>#REF!</v>
      </c>
      <c r="W24" s="53" t="e">
        <f>IF(AND('Mapa final'!#REF!="Alta",'Mapa final'!#REF!="Moderado"),CONCATENATE("R9C",'Mapa final'!#REF!),"")</f>
        <v>#REF!</v>
      </c>
      <c r="X24" s="58" t="e">
        <f>IF(AND('Mapa final'!#REF!="Alta",'Mapa final'!#REF!="Moderado"),CONCATENATE("R9C",'Mapa final'!#REF!),"")</f>
        <v>#REF!</v>
      </c>
      <c r="Y24" s="58" t="e">
        <f>IF(AND('Mapa final'!#REF!="Alta",'Mapa final'!#REF!="Moderado"),CONCATENATE("R9C",'Mapa final'!#REF!),"")</f>
        <v>#REF!</v>
      </c>
      <c r="Z24" s="58" t="e">
        <f>IF(AND('Mapa final'!#REF!="Alta",'Mapa final'!#REF!="Moderado"),CONCATENATE("R9C",'Mapa final'!#REF!),"")</f>
        <v>#REF!</v>
      </c>
      <c r="AA24" s="54" t="e">
        <f>IF(AND('Mapa final'!#REF!="Alta",'Mapa final'!#REF!="Moderado"),CONCATENATE("R9C",'Mapa final'!#REF!),"")</f>
        <v>#REF!</v>
      </c>
      <c r="AB24" s="52" t="e">
        <f>IF(AND('Mapa final'!#REF!="Alta",'Mapa final'!#REF!="Mayor"),CONCATENATE("R9C",'Mapa final'!#REF!),"")</f>
        <v>#REF!</v>
      </c>
      <c r="AC24" s="53" t="e">
        <f>IF(AND('Mapa final'!#REF!="Alta",'Mapa final'!#REF!="Mayor"),CONCATENATE("R9C",'Mapa final'!#REF!),"")</f>
        <v>#REF!</v>
      </c>
      <c r="AD24" s="58" t="e">
        <f>IF(AND('Mapa final'!#REF!="Alta",'Mapa final'!#REF!="Mayor"),CONCATENATE("R9C",'Mapa final'!#REF!),"")</f>
        <v>#REF!</v>
      </c>
      <c r="AE24" s="58" t="e">
        <f>IF(AND('Mapa final'!#REF!="Alta",'Mapa final'!#REF!="Mayor"),CONCATENATE("R9C",'Mapa final'!#REF!),"")</f>
        <v>#REF!</v>
      </c>
      <c r="AF24" s="58" t="e">
        <f>IF(AND('Mapa final'!#REF!="Alta",'Mapa final'!#REF!="Mayor"),CONCATENATE("R9C",'Mapa final'!#REF!),"")</f>
        <v>#REF!</v>
      </c>
      <c r="AG24" s="54" t="e">
        <f>IF(AND('Mapa final'!#REF!="Alta",'Mapa final'!#REF!="Mayor"),CONCATENATE("R9C",'Mapa final'!#REF!),"")</f>
        <v>#REF!</v>
      </c>
      <c r="AH24" s="55" t="e">
        <f>IF(AND('Mapa final'!#REF!="Alta",'Mapa final'!#REF!="Catastrófico"),CONCATENATE("R9C",'Mapa final'!#REF!),"")</f>
        <v>#REF!</v>
      </c>
      <c r="AI24" s="56" t="e">
        <f>IF(AND('Mapa final'!#REF!="Alta",'Mapa final'!#REF!="Catastrófico"),CONCATENATE("R9C",'Mapa final'!#REF!),"")</f>
        <v>#REF!</v>
      </c>
      <c r="AJ24" s="56" t="e">
        <f>IF(AND('Mapa final'!#REF!="Alta",'Mapa final'!#REF!="Catastrófico"),CONCATENATE("R9C",'Mapa final'!#REF!),"")</f>
        <v>#REF!</v>
      </c>
      <c r="AK24" s="56" t="e">
        <f>IF(AND('Mapa final'!#REF!="Alta",'Mapa final'!#REF!="Catastrófico"),CONCATENATE("R9C",'Mapa final'!#REF!),"")</f>
        <v>#REF!</v>
      </c>
      <c r="AL24" s="56" t="e">
        <f>IF(AND('Mapa final'!#REF!="Alta",'Mapa final'!#REF!="Catastrófico"),CONCATENATE("R9C",'Mapa final'!#REF!),"")</f>
        <v>#REF!</v>
      </c>
      <c r="AM24" s="57" t="e">
        <f>IF(AND('Mapa final'!#REF!="Alta",'Mapa final'!#REF!="Catastrófico"),CONCATENATE("R9C",'Mapa final'!#REF!),"")</f>
        <v>#REF!</v>
      </c>
      <c r="AN24" s="84"/>
      <c r="AO24" s="314"/>
      <c r="AP24" s="315"/>
      <c r="AQ24" s="315"/>
      <c r="AR24" s="315"/>
      <c r="AS24" s="315"/>
      <c r="AT24" s="31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223"/>
      <c r="C25" s="223"/>
      <c r="D25" s="224"/>
      <c r="E25" s="326"/>
      <c r="F25" s="327"/>
      <c r="G25" s="327"/>
      <c r="H25" s="327"/>
      <c r="I25" s="327"/>
      <c r="J25" s="71" t="e">
        <f>IF(AND('Mapa final'!#REF!="Alta",'Mapa final'!#REF!="Leve"),CONCATENATE("R10C",'Mapa final'!#REF!),"")</f>
        <v>#REF!</v>
      </c>
      <c r="K25" s="72" t="e">
        <f>IF(AND('Mapa final'!#REF!="Alta",'Mapa final'!#REF!="Leve"),CONCATENATE("R10C",'Mapa final'!#REF!),"")</f>
        <v>#REF!</v>
      </c>
      <c r="L25" s="72" t="e">
        <f>IF(AND('Mapa final'!#REF!="Alta",'Mapa final'!#REF!="Leve"),CONCATENATE("R10C",'Mapa final'!#REF!),"")</f>
        <v>#REF!</v>
      </c>
      <c r="M25" s="72" t="e">
        <f>IF(AND('Mapa final'!#REF!="Alta",'Mapa final'!#REF!="Leve"),CONCATENATE("R10C",'Mapa final'!#REF!),"")</f>
        <v>#REF!</v>
      </c>
      <c r="N25" s="72" t="e">
        <f>IF(AND('Mapa final'!#REF!="Alta",'Mapa final'!#REF!="Leve"),CONCATENATE("R10C",'Mapa final'!#REF!),"")</f>
        <v>#REF!</v>
      </c>
      <c r="O25" s="73" t="e">
        <f>IF(AND('Mapa final'!#REF!="Alta",'Mapa final'!#REF!="Leve"),CONCATENATE("R10C",'Mapa final'!#REF!),"")</f>
        <v>#REF!</v>
      </c>
      <c r="P25" s="71" t="e">
        <f>IF(AND('Mapa final'!#REF!="Alta",'Mapa final'!#REF!="Menor"),CONCATENATE("R10C",'Mapa final'!#REF!),"")</f>
        <v>#REF!</v>
      </c>
      <c r="Q25" s="72" t="e">
        <f>IF(AND('Mapa final'!#REF!="Alta",'Mapa final'!#REF!="Menor"),CONCATENATE("R10C",'Mapa final'!#REF!),"")</f>
        <v>#REF!</v>
      </c>
      <c r="R25" s="72" t="e">
        <f>IF(AND('Mapa final'!#REF!="Alta",'Mapa final'!#REF!="Menor"),CONCATENATE("R10C",'Mapa final'!#REF!),"")</f>
        <v>#REF!</v>
      </c>
      <c r="S25" s="72" t="e">
        <f>IF(AND('Mapa final'!#REF!="Alta",'Mapa final'!#REF!="Menor"),CONCATENATE("R10C",'Mapa final'!#REF!),"")</f>
        <v>#REF!</v>
      </c>
      <c r="T25" s="72" t="e">
        <f>IF(AND('Mapa final'!#REF!="Alta",'Mapa final'!#REF!="Menor"),CONCATENATE("R10C",'Mapa final'!#REF!),"")</f>
        <v>#REF!</v>
      </c>
      <c r="U25" s="73" t="e">
        <f>IF(AND('Mapa final'!#REF!="Alta",'Mapa final'!#REF!="Menor"),CONCATENATE("R10C",'Mapa final'!#REF!),"")</f>
        <v>#REF!</v>
      </c>
      <c r="V25" s="59" t="e">
        <f>IF(AND('Mapa final'!#REF!="Alta",'Mapa final'!#REF!="Moderado"),CONCATENATE("R10C",'Mapa final'!#REF!),"")</f>
        <v>#REF!</v>
      </c>
      <c r="W25" s="60" t="e">
        <f>IF(AND('Mapa final'!#REF!="Alta",'Mapa final'!#REF!="Moderado"),CONCATENATE("R10C",'Mapa final'!#REF!),"")</f>
        <v>#REF!</v>
      </c>
      <c r="X25" s="60" t="e">
        <f>IF(AND('Mapa final'!#REF!="Alta",'Mapa final'!#REF!="Moderado"),CONCATENATE("R10C",'Mapa final'!#REF!),"")</f>
        <v>#REF!</v>
      </c>
      <c r="Y25" s="60" t="e">
        <f>IF(AND('Mapa final'!#REF!="Alta",'Mapa final'!#REF!="Moderado"),CONCATENATE("R10C",'Mapa final'!#REF!),"")</f>
        <v>#REF!</v>
      </c>
      <c r="Z25" s="60" t="e">
        <f>IF(AND('Mapa final'!#REF!="Alta",'Mapa final'!#REF!="Moderado"),CONCATENATE("R10C",'Mapa final'!#REF!),"")</f>
        <v>#REF!</v>
      </c>
      <c r="AA25" s="61" t="e">
        <f>IF(AND('Mapa final'!#REF!="Alta",'Mapa final'!#REF!="Moderado"),CONCATENATE("R10C",'Mapa final'!#REF!),"")</f>
        <v>#REF!</v>
      </c>
      <c r="AB25" s="59" t="e">
        <f>IF(AND('Mapa final'!#REF!="Alta",'Mapa final'!#REF!="Mayor"),CONCATENATE("R10C",'Mapa final'!#REF!),"")</f>
        <v>#REF!</v>
      </c>
      <c r="AC25" s="60" t="e">
        <f>IF(AND('Mapa final'!#REF!="Alta",'Mapa final'!#REF!="Mayor"),CONCATENATE("R10C",'Mapa final'!#REF!),"")</f>
        <v>#REF!</v>
      </c>
      <c r="AD25" s="60" t="e">
        <f>IF(AND('Mapa final'!#REF!="Alta",'Mapa final'!#REF!="Mayor"),CONCATENATE("R10C",'Mapa final'!#REF!),"")</f>
        <v>#REF!</v>
      </c>
      <c r="AE25" s="60" t="e">
        <f>IF(AND('Mapa final'!#REF!="Alta",'Mapa final'!#REF!="Mayor"),CONCATENATE("R10C",'Mapa final'!#REF!),"")</f>
        <v>#REF!</v>
      </c>
      <c r="AF25" s="60" t="e">
        <f>IF(AND('Mapa final'!#REF!="Alta",'Mapa final'!#REF!="Mayor"),CONCATENATE("R10C",'Mapa final'!#REF!),"")</f>
        <v>#REF!</v>
      </c>
      <c r="AG25" s="61" t="e">
        <f>IF(AND('Mapa final'!#REF!="Alta",'Mapa final'!#REF!="Mayor"),CONCATENATE("R10C",'Mapa final'!#REF!),"")</f>
        <v>#REF!</v>
      </c>
      <c r="AH25" s="62" t="e">
        <f>IF(AND('Mapa final'!#REF!="Alta",'Mapa final'!#REF!="Catastrófico"),CONCATENATE("R10C",'Mapa final'!#REF!),"")</f>
        <v>#REF!</v>
      </c>
      <c r="AI25" s="63" t="e">
        <f>IF(AND('Mapa final'!#REF!="Alta",'Mapa final'!#REF!="Catastrófico"),CONCATENATE("R10C",'Mapa final'!#REF!),"")</f>
        <v>#REF!</v>
      </c>
      <c r="AJ25" s="63" t="e">
        <f>IF(AND('Mapa final'!#REF!="Alta",'Mapa final'!#REF!="Catastrófico"),CONCATENATE("R10C",'Mapa final'!#REF!),"")</f>
        <v>#REF!</v>
      </c>
      <c r="AK25" s="63" t="e">
        <f>IF(AND('Mapa final'!#REF!="Alta",'Mapa final'!#REF!="Catastrófico"),CONCATENATE("R10C",'Mapa final'!#REF!),"")</f>
        <v>#REF!</v>
      </c>
      <c r="AL25" s="63" t="e">
        <f>IF(AND('Mapa final'!#REF!="Alta",'Mapa final'!#REF!="Catastrófico"),CONCATENATE("R10C",'Mapa final'!#REF!),"")</f>
        <v>#REF!</v>
      </c>
      <c r="AM25" s="64" t="e">
        <f>IF(AND('Mapa final'!#REF!="Alta",'Mapa final'!#REF!="Catastrófico"),CONCATENATE("R10C",'Mapa final'!#REF!),"")</f>
        <v>#REF!</v>
      </c>
      <c r="AN25" s="84"/>
      <c r="AO25" s="317"/>
      <c r="AP25" s="318"/>
      <c r="AQ25" s="318"/>
      <c r="AR25" s="318"/>
      <c r="AS25" s="318"/>
      <c r="AT25" s="319"/>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223"/>
      <c r="C26" s="223"/>
      <c r="D26" s="224"/>
      <c r="E26" s="320" t="s">
        <v>117</v>
      </c>
      <c r="F26" s="321"/>
      <c r="G26" s="321"/>
      <c r="H26" s="321"/>
      <c r="I26" s="339"/>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R1C1</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51" t="s">
        <v>81</v>
      </c>
      <c r="AP26" s="352"/>
      <c r="AQ26" s="352"/>
      <c r="AR26" s="352"/>
      <c r="AS26" s="352"/>
      <c r="AT26" s="35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223"/>
      <c r="C27" s="223"/>
      <c r="D27" s="224"/>
      <c r="E27" s="322"/>
      <c r="F27" s="323"/>
      <c r="G27" s="323"/>
      <c r="H27" s="323"/>
      <c r="I27" s="340"/>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54"/>
      <c r="AP27" s="355"/>
      <c r="AQ27" s="355"/>
      <c r="AR27" s="355"/>
      <c r="AS27" s="355"/>
      <c r="AT27" s="35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223"/>
      <c r="C28" s="223"/>
      <c r="D28" s="224"/>
      <c r="E28" s="324"/>
      <c r="F28" s="325"/>
      <c r="G28" s="325"/>
      <c r="H28" s="325"/>
      <c r="I28" s="340"/>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R3C1</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54"/>
      <c r="AP28" s="355"/>
      <c r="AQ28" s="355"/>
      <c r="AR28" s="355"/>
      <c r="AS28" s="355"/>
      <c r="AT28" s="35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223"/>
      <c r="C29" s="223"/>
      <c r="D29" s="224"/>
      <c r="E29" s="324"/>
      <c r="F29" s="325"/>
      <c r="G29" s="325"/>
      <c r="H29" s="325"/>
      <c r="I29" s="340"/>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54"/>
      <c r="AP29" s="355"/>
      <c r="AQ29" s="355"/>
      <c r="AR29" s="355"/>
      <c r="AS29" s="355"/>
      <c r="AT29" s="35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223"/>
      <c r="C30" s="223"/>
      <c r="D30" s="224"/>
      <c r="E30" s="324"/>
      <c r="F30" s="325"/>
      <c r="G30" s="325"/>
      <c r="H30" s="325"/>
      <c r="I30" s="340"/>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54"/>
      <c r="AP30" s="355"/>
      <c r="AQ30" s="355"/>
      <c r="AR30" s="355"/>
      <c r="AS30" s="355"/>
      <c r="AT30" s="35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223"/>
      <c r="C31" s="223"/>
      <c r="D31" s="224"/>
      <c r="E31" s="324"/>
      <c r="F31" s="325"/>
      <c r="G31" s="325"/>
      <c r="H31" s="325"/>
      <c r="I31" s="340"/>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54"/>
      <c r="AP31" s="355"/>
      <c r="AQ31" s="355"/>
      <c r="AR31" s="355"/>
      <c r="AS31" s="355"/>
      <c r="AT31" s="35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223"/>
      <c r="C32" s="223"/>
      <c r="D32" s="224"/>
      <c r="E32" s="324"/>
      <c r="F32" s="325"/>
      <c r="G32" s="325"/>
      <c r="H32" s="325"/>
      <c r="I32" s="340"/>
      <c r="J32" s="68" t="str">
        <f>IF(AND('Mapa final'!$Y$16="Media",'Mapa final'!$AA$16="Leve"),CONCATENATE("R7C",'Mapa final'!$O$16),"")</f>
        <v/>
      </c>
      <c r="K32" s="69" t="e">
        <f>IF(AND('Mapa final'!#REF!="Media",'Mapa final'!#REF!="Leve"),CONCATENATE("R7C",'Mapa final'!#REF!),"")</f>
        <v>#REF!</v>
      </c>
      <c r="L32" s="69" t="e">
        <f>IF(AND('Mapa final'!#REF!="Media",'Mapa final'!#REF!="Leve"),CONCATENATE("R7C",'Mapa final'!#REF!),"")</f>
        <v>#REF!</v>
      </c>
      <c r="M32" s="69" t="e">
        <f>IF(AND('Mapa final'!#REF!="Media",'Mapa final'!#REF!="Leve"),CONCATENATE("R7C",'Mapa final'!#REF!),"")</f>
        <v>#REF!</v>
      </c>
      <c r="N32" s="69" t="e">
        <f>IF(AND('Mapa final'!#REF!="Media",'Mapa final'!#REF!="Leve"),CONCATENATE("R7C",'Mapa final'!#REF!),"")</f>
        <v>#REF!</v>
      </c>
      <c r="O32" s="70" t="e">
        <f>IF(AND('Mapa final'!#REF!="Media",'Mapa final'!#REF!="Leve"),CONCATENATE("R7C",'Mapa final'!#REF!),"")</f>
        <v>#REF!</v>
      </c>
      <c r="P32" s="68" t="str">
        <f>IF(AND('Mapa final'!$Y$16="Media",'Mapa final'!$AA$16="Menor"),CONCATENATE("R7C",'Mapa final'!$O$16),"")</f>
        <v/>
      </c>
      <c r="Q32" s="69" t="e">
        <f>IF(AND('Mapa final'!#REF!="Media",'Mapa final'!#REF!="Menor"),CONCATENATE("R7C",'Mapa final'!#REF!),"")</f>
        <v>#REF!</v>
      </c>
      <c r="R32" s="69" t="e">
        <f>IF(AND('Mapa final'!#REF!="Media",'Mapa final'!#REF!="Menor"),CONCATENATE("R7C",'Mapa final'!#REF!),"")</f>
        <v>#REF!</v>
      </c>
      <c r="S32" s="69" t="e">
        <f>IF(AND('Mapa final'!#REF!="Media",'Mapa final'!#REF!="Menor"),CONCATENATE("R7C",'Mapa final'!#REF!),"")</f>
        <v>#REF!</v>
      </c>
      <c r="T32" s="69" t="e">
        <f>IF(AND('Mapa final'!#REF!="Media",'Mapa final'!#REF!="Menor"),CONCATENATE("R7C",'Mapa final'!#REF!),"")</f>
        <v>#REF!</v>
      </c>
      <c r="U32" s="70" t="e">
        <f>IF(AND('Mapa final'!#REF!="Media",'Mapa final'!#REF!="Menor"),CONCATENATE("R7C",'Mapa final'!#REF!),"")</f>
        <v>#REF!</v>
      </c>
      <c r="V32" s="68" t="str">
        <f>IF(AND('Mapa final'!$Y$16="Media",'Mapa final'!$AA$16="Moderado"),CONCATENATE("R7C",'Mapa final'!$O$16),"")</f>
        <v>R7C1</v>
      </c>
      <c r="W32" s="69" t="e">
        <f>IF(AND('Mapa final'!#REF!="Media",'Mapa final'!#REF!="Moderado"),CONCATENATE("R7C",'Mapa final'!#REF!),"")</f>
        <v>#REF!</v>
      </c>
      <c r="X32" s="69" t="e">
        <f>IF(AND('Mapa final'!#REF!="Media",'Mapa final'!#REF!="Moderado"),CONCATENATE("R7C",'Mapa final'!#REF!),"")</f>
        <v>#REF!</v>
      </c>
      <c r="Y32" s="69" t="e">
        <f>IF(AND('Mapa final'!#REF!="Media",'Mapa final'!#REF!="Moderado"),CONCATENATE("R7C",'Mapa final'!#REF!),"")</f>
        <v>#REF!</v>
      </c>
      <c r="Z32" s="69" t="e">
        <f>IF(AND('Mapa final'!#REF!="Media",'Mapa final'!#REF!="Moderado"),CONCATENATE("R7C",'Mapa final'!#REF!),"")</f>
        <v>#REF!</v>
      </c>
      <c r="AA32" s="70" t="e">
        <f>IF(AND('Mapa final'!#REF!="Media",'Mapa final'!#REF!="Moderado"),CONCATENATE("R7C",'Mapa final'!#REF!),"")</f>
        <v>#REF!</v>
      </c>
      <c r="AB32" s="52" t="str">
        <f>IF(AND('Mapa final'!$Y$16="Media",'Mapa final'!$AA$16="Mayor"),CONCATENATE("R7C",'Mapa final'!$O$16),"")</f>
        <v/>
      </c>
      <c r="AC32" s="53" t="e">
        <f>IF(AND('Mapa final'!#REF!="Media",'Mapa final'!#REF!="Mayor"),CONCATENATE("R7C",'Mapa final'!#REF!),"")</f>
        <v>#REF!</v>
      </c>
      <c r="AD32" s="58" t="e">
        <f>IF(AND('Mapa final'!#REF!="Media",'Mapa final'!#REF!="Mayor"),CONCATENATE("R7C",'Mapa final'!#REF!),"")</f>
        <v>#REF!</v>
      </c>
      <c r="AE32" s="58" t="e">
        <f>IF(AND('Mapa final'!#REF!="Media",'Mapa final'!#REF!="Mayor"),CONCATENATE("R7C",'Mapa final'!#REF!),"")</f>
        <v>#REF!</v>
      </c>
      <c r="AF32" s="58" t="e">
        <f>IF(AND('Mapa final'!#REF!="Media",'Mapa final'!#REF!="Mayor"),CONCATENATE("R7C",'Mapa final'!#REF!),"")</f>
        <v>#REF!</v>
      </c>
      <c r="AG32" s="54" t="e">
        <f>IF(AND('Mapa final'!#REF!="Media",'Mapa final'!#REF!="Mayor"),CONCATENATE("R7C",'Mapa final'!#REF!),"")</f>
        <v>#REF!</v>
      </c>
      <c r="AH32" s="55" t="str">
        <f>IF(AND('Mapa final'!$Y$16="Media",'Mapa final'!$AA$16="Catastrófico"),CONCATENATE("R7C",'Mapa final'!$O$16),"")</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4"/>
      <c r="AO32" s="354"/>
      <c r="AP32" s="355"/>
      <c r="AQ32" s="355"/>
      <c r="AR32" s="355"/>
      <c r="AS32" s="355"/>
      <c r="AT32" s="35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223"/>
      <c r="C33" s="223"/>
      <c r="D33" s="224"/>
      <c r="E33" s="324"/>
      <c r="F33" s="325"/>
      <c r="G33" s="325"/>
      <c r="H33" s="325"/>
      <c r="I33" s="340"/>
      <c r="J33" s="68" t="e">
        <f>IF(AND('Mapa final'!#REF!="Media",'Mapa final'!#REF!="Leve"),CONCATENATE("R8C",'Mapa final'!#REF!),"")</f>
        <v>#REF!</v>
      </c>
      <c r="K33" s="69" t="e">
        <f>IF(AND('Mapa final'!#REF!="Media",'Mapa final'!#REF!="Leve"),CONCATENATE("R8C",'Mapa final'!#REF!),"")</f>
        <v>#REF!</v>
      </c>
      <c r="L33" s="69" t="e">
        <f>IF(AND('Mapa final'!#REF!="Media",'Mapa final'!#REF!="Leve"),CONCATENATE("R8C",'Mapa final'!#REF!),"")</f>
        <v>#REF!</v>
      </c>
      <c r="M33" s="69" t="e">
        <f>IF(AND('Mapa final'!#REF!="Media",'Mapa final'!#REF!="Leve"),CONCATENATE("R8C",'Mapa final'!#REF!),"")</f>
        <v>#REF!</v>
      </c>
      <c r="N33" s="69" t="e">
        <f>IF(AND('Mapa final'!#REF!="Media",'Mapa final'!#REF!="Leve"),CONCATENATE("R8C",'Mapa final'!#REF!),"")</f>
        <v>#REF!</v>
      </c>
      <c r="O33" s="70" t="e">
        <f>IF(AND('Mapa final'!#REF!="Media",'Mapa final'!#REF!="Leve"),CONCATENATE("R8C",'Mapa final'!#REF!),"")</f>
        <v>#REF!</v>
      </c>
      <c r="P33" s="68" t="e">
        <f>IF(AND('Mapa final'!#REF!="Media",'Mapa final'!#REF!="Menor"),CONCATENATE("R8C",'Mapa final'!#REF!),"")</f>
        <v>#REF!</v>
      </c>
      <c r="Q33" s="69" t="e">
        <f>IF(AND('Mapa final'!#REF!="Media",'Mapa final'!#REF!="Menor"),CONCATENATE("R8C",'Mapa final'!#REF!),"")</f>
        <v>#REF!</v>
      </c>
      <c r="R33" s="69" t="e">
        <f>IF(AND('Mapa final'!#REF!="Media",'Mapa final'!#REF!="Menor"),CONCATENATE("R8C",'Mapa final'!#REF!),"")</f>
        <v>#REF!</v>
      </c>
      <c r="S33" s="69" t="e">
        <f>IF(AND('Mapa final'!#REF!="Media",'Mapa final'!#REF!="Menor"),CONCATENATE("R8C",'Mapa final'!#REF!),"")</f>
        <v>#REF!</v>
      </c>
      <c r="T33" s="69" t="e">
        <f>IF(AND('Mapa final'!#REF!="Media",'Mapa final'!#REF!="Menor"),CONCATENATE("R8C",'Mapa final'!#REF!),"")</f>
        <v>#REF!</v>
      </c>
      <c r="U33" s="70" t="e">
        <f>IF(AND('Mapa final'!#REF!="Media",'Mapa final'!#REF!="Menor"),CONCATENATE("R8C",'Mapa final'!#REF!),"")</f>
        <v>#REF!</v>
      </c>
      <c r="V33" s="68" t="e">
        <f>IF(AND('Mapa final'!#REF!="Media",'Mapa final'!#REF!="Moderado"),CONCATENATE("R8C",'Mapa final'!#REF!),"")</f>
        <v>#REF!</v>
      </c>
      <c r="W33" s="69" t="e">
        <f>IF(AND('Mapa final'!#REF!="Media",'Mapa final'!#REF!="Moderado"),CONCATENATE("R8C",'Mapa final'!#REF!),"")</f>
        <v>#REF!</v>
      </c>
      <c r="X33" s="69" t="e">
        <f>IF(AND('Mapa final'!#REF!="Media",'Mapa final'!#REF!="Moderado"),CONCATENATE("R8C",'Mapa final'!#REF!),"")</f>
        <v>#REF!</v>
      </c>
      <c r="Y33" s="69" t="e">
        <f>IF(AND('Mapa final'!#REF!="Media",'Mapa final'!#REF!="Moderado"),CONCATENATE("R8C",'Mapa final'!#REF!),"")</f>
        <v>#REF!</v>
      </c>
      <c r="Z33" s="69" t="e">
        <f>IF(AND('Mapa final'!#REF!="Media",'Mapa final'!#REF!="Moderado"),CONCATENATE("R8C",'Mapa final'!#REF!),"")</f>
        <v>#REF!</v>
      </c>
      <c r="AA33" s="70" t="e">
        <f>IF(AND('Mapa final'!#REF!="Media",'Mapa final'!#REF!="Moderado"),CONCATENATE("R8C",'Mapa final'!#REF!),"")</f>
        <v>#REF!</v>
      </c>
      <c r="AB33" s="52" t="e">
        <f>IF(AND('Mapa final'!#REF!="Media",'Mapa final'!#REF!="Mayor"),CONCATENATE("R8C",'Mapa final'!#REF!),"")</f>
        <v>#REF!</v>
      </c>
      <c r="AC33" s="53" t="e">
        <f>IF(AND('Mapa final'!#REF!="Media",'Mapa final'!#REF!="Mayor"),CONCATENATE("R8C",'Mapa final'!#REF!),"")</f>
        <v>#REF!</v>
      </c>
      <c r="AD33" s="58" t="e">
        <f>IF(AND('Mapa final'!#REF!="Media",'Mapa final'!#REF!="Mayor"),CONCATENATE("R8C",'Mapa final'!#REF!),"")</f>
        <v>#REF!</v>
      </c>
      <c r="AE33" s="58" t="e">
        <f>IF(AND('Mapa final'!#REF!="Media",'Mapa final'!#REF!="Mayor"),CONCATENATE("R8C",'Mapa final'!#REF!),"")</f>
        <v>#REF!</v>
      </c>
      <c r="AF33" s="58" t="e">
        <f>IF(AND('Mapa final'!#REF!="Media",'Mapa final'!#REF!="Mayor"),CONCATENATE("R8C",'Mapa final'!#REF!),"")</f>
        <v>#REF!</v>
      </c>
      <c r="AG33" s="54" t="e">
        <f>IF(AND('Mapa final'!#REF!="Media",'Mapa final'!#REF!="Mayor"),CONCATENATE("R8C",'Mapa final'!#REF!),"")</f>
        <v>#REF!</v>
      </c>
      <c r="AH33" s="55" t="e">
        <f>IF(AND('Mapa final'!#REF!="Media",'Mapa final'!#REF!="Catastrófico"),CONCATENATE("R8C",'Mapa final'!#REF!),"")</f>
        <v>#REF!</v>
      </c>
      <c r="AI33" s="56" t="e">
        <f>IF(AND('Mapa final'!#REF!="Media",'Mapa final'!#REF!="Catastrófico"),CONCATENATE("R8C",'Mapa final'!#REF!),"")</f>
        <v>#REF!</v>
      </c>
      <c r="AJ33" s="56" t="e">
        <f>IF(AND('Mapa final'!#REF!="Media",'Mapa final'!#REF!="Catastrófico"),CONCATENATE("R8C",'Mapa final'!#REF!),"")</f>
        <v>#REF!</v>
      </c>
      <c r="AK33" s="56" t="e">
        <f>IF(AND('Mapa final'!#REF!="Media",'Mapa final'!#REF!="Catastrófico"),CONCATENATE("R8C",'Mapa final'!#REF!),"")</f>
        <v>#REF!</v>
      </c>
      <c r="AL33" s="56" t="e">
        <f>IF(AND('Mapa final'!#REF!="Media",'Mapa final'!#REF!="Catastrófico"),CONCATENATE("R8C",'Mapa final'!#REF!),"")</f>
        <v>#REF!</v>
      </c>
      <c r="AM33" s="57" t="e">
        <f>IF(AND('Mapa final'!#REF!="Media",'Mapa final'!#REF!="Catastrófico"),CONCATENATE("R8C",'Mapa final'!#REF!),"")</f>
        <v>#REF!</v>
      </c>
      <c r="AN33" s="84"/>
      <c r="AO33" s="354"/>
      <c r="AP33" s="355"/>
      <c r="AQ33" s="355"/>
      <c r="AR33" s="355"/>
      <c r="AS33" s="355"/>
      <c r="AT33" s="35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223"/>
      <c r="C34" s="223"/>
      <c r="D34" s="224"/>
      <c r="E34" s="324"/>
      <c r="F34" s="325"/>
      <c r="G34" s="325"/>
      <c r="H34" s="325"/>
      <c r="I34" s="340"/>
      <c r="J34" s="68" t="e">
        <f>IF(AND('Mapa final'!#REF!="Media",'Mapa final'!#REF!="Leve"),CONCATENATE("R9C",'Mapa final'!#REF!),"")</f>
        <v>#REF!</v>
      </c>
      <c r="K34" s="69" t="e">
        <f>IF(AND('Mapa final'!#REF!="Media",'Mapa final'!#REF!="Leve"),CONCATENATE("R9C",'Mapa final'!#REF!),"")</f>
        <v>#REF!</v>
      </c>
      <c r="L34" s="69" t="e">
        <f>IF(AND('Mapa final'!#REF!="Media",'Mapa final'!#REF!="Leve"),CONCATENATE("R9C",'Mapa final'!#REF!),"")</f>
        <v>#REF!</v>
      </c>
      <c r="M34" s="69" t="e">
        <f>IF(AND('Mapa final'!#REF!="Media",'Mapa final'!#REF!="Leve"),CONCATENATE("R9C",'Mapa final'!#REF!),"")</f>
        <v>#REF!</v>
      </c>
      <c r="N34" s="69" t="e">
        <f>IF(AND('Mapa final'!#REF!="Media",'Mapa final'!#REF!="Leve"),CONCATENATE("R9C",'Mapa final'!#REF!),"")</f>
        <v>#REF!</v>
      </c>
      <c r="O34" s="70" t="e">
        <f>IF(AND('Mapa final'!#REF!="Media",'Mapa final'!#REF!="Leve"),CONCATENATE("R9C",'Mapa final'!#REF!),"")</f>
        <v>#REF!</v>
      </c>
      <c r="P34" s="68" t="e">
        <f>IF(AND('Mapa final'!#REF!="Media",'Mapa final'!#REF!="Menor"),CONCATENATE("R9C",'Mapa final'!#REF!),"")</f>
        <v>#REF!</v>
      </c>
      <c r="Q34" s="69" t="e">
        <f>IF(AND('Mapa final'!#REF!="Media",'Mapa final'!#REF!="Menor"),CONCATENATE("R9C",'Mapa final'!#REF!),"")</f>
        <v>#REF!</v>
      </c>
      <c r="R34" s="69" t="e">
        <f>IF(AND('Mapa final'!#REF!="Media",'Mapa final'!#REF!="Menor"),CONCATENATE("R9C",'Mapa final'!#REF!),"")</f>
        <v>#REF!</v>
      </c>
      <c r="S34" s="69" t="e">
        <f>IF(AND('Mapa final'!#REF!="Media",'Mapa final'!#REF!="Menor"),CONCATENATE("R9C",'Mapa final'!#REF!),"")</f>
        <v>#REF!</v>
      </c>
      <c r="T34" s="69" t="e">
        <f>IF(AND('Mapa final'!#REF!="Media",'Mapa final'!#REF!="Menor"),CONCATENATE("R9C",'Mapa final'!#REF!),"")</f>
        <v>#REF!</v>
      </c>
      <c r="U34" s="70" t="e">
        <f>IF(AND('Mapa final'!#REF!="Media",'Mapa final'!#REF!="Menor"),CONCATENATE("R9C",'Mapa final'!#REF!),"")</f>
        <v>#REF!</v>
      </c>
      <c r="V34" s="68" t="e">
        <f>IF(AND('Mapa final'!#REF!="Media",'Mapa final'!#REF!="Moderado"),CONCATENATE("R9C",'Mapa final'!#REF!),"")</f>
        <v>#REF!</v>
      </c>
      <c r="W34" s="69" t="e">
        <f>IF(AND('Mapa final'!#REF!="Media",'Mapa final'!#REF!="Moderado"),CONCATENATE("R9C",'Mapa final'!#REF!),"")</f>
        <v>#REF!</v>
      </c>
      <c r="X34" s="69" t="e">
        <f>IF(AND('Mapa final'!#REF!="Media",'Mapa final'!#REF!="Moderado"),CONCATENATE("R9C",'Mapa final'!#REF!),"")</f>
        <v>#REF!</v>
      </c>
      <c r="Y34" s="69" t="e">
        <f>IF(AND('Mapa final'!#REF!="Media",'Mapa final'!#REF!="Moderado"),CONCATENATE("R9C",'Mapa final'!#REF!),"")</f>
        <v>#REF!</v>
      </c>
      <c r="Z34" s="69" t="e">
        <f>IF(AND('Mapa final'!#REF!="Media",'Mapa final'!#REF!="Moderado"),CONCATENATE("R9C",'Mapa final'!#REF!),"")</f>
        <v>#REF!</v>
      </c>
      <c r="AA34" s="70" t="e">
        <f>IF(AND('Mapa final'!#REF!="Media",'Mapa final'!#REF!="Moderado"),CONCATENATE("R9C",'Mapa final'!#REF!),"")</f>
        <v>#REF!</v>
      </c>
      <c r="AB34" s="52" t="e">
        <f>IF(AND('Mapa final'!#REF!="Media",'Mapa final'!#REF!="Mayor"),CONCATENATE("R9C",'Mapa final'!#REF!),"")</f>
        <v>#REF!</v>
      </c>
      <c r="AC34" s="53" t="e">
        <f>IF(AND('Mapa final'!#REF!="Media",'Mapa final'!#REF!="Mayor"),CONCATENATE("R9C",'Mapa final'!#REF!),"")</f>
        <v>#REF!</v>
      </c>
      <c r="AD34" s="58" t="e">
        <f>IF(AND('Mapa final'!#REF!="Media",'Mapa final'!#REF!="Mayor"),CONCATENATE("R9C",'Mapa final'!#REF!),"")</f>
        <v>#REF!</v>
      </c>
      <c r="AE34" s="58" t="e">
        <f>IF(AND('Mapa final'!#REF!="Media",'Mapa final'!#REF!="Mayor"),CONCATENATE("R9C",'Mapa final'!#REF!),"")</f>
        <v>#REF!</v>
      </c>
      <c r="AF34" s="58" t="e">
        <f>IF(AND('Mapa final'!#REF!="Media",'Mapa final'!#REF!="Mayor"),CONCATENATE("R9C",'Mapa final'!#REF!),"")</f>
        <v>#REF!</v>
      </c>
      <c r="AG34" s="54" t="e">
        <f>IF(AND('Mapa final'!#REF!="Media",'Mapa final'!#REF!="Mayor"),CONCATENATE("R9C",'Mapa final'!#REF!),"")</f>
        <v>#REF!</v>
      </c>
      <c r="AH34" s="55" t="e">
        <f>IF(AND('Mapa final'!#REF!="Media",'Mapa final'!#REF!="Catastrófico"),CONCATENATE("R9C",'Mapa final'!#REF!),"")</f>
        <v>#REF!</v>
      </c>
      <c r="AI34" s="56" t="e">
        <f>IF(AND('Mapa final'!#REF!="Media",'Mapa final'!#REF!="Catastrófico"),CONCATENATE("R9C",'Mapa final'!#REF!),"")</f>
        <v>#REF!</v>
      </c>
      <c r="AJ34" s="56" t="e">
        <f>IF(AND('Mapa final'!#REF!="Media",'Mapa final'!#REF!="Catastrófico"),CONCATENATE("R9C",'Mapa final'!#REF!),"")</f>
        <v>#REF!</v>
      </c>
      <c r="AK34" s="56" t="e">
        <f>IF(AND('Mapa final'!#REF!="Media",'Mapa final'!#REF!="Catastrófico"),CONCATENATE("R9C",'Mapa final'!#REF!),"")</f>
        <v>#REF!</v>
      </c>
      <c r="AL34" s="56" t="e">
        <f>IF(AND('Mapa final'!#REF!="Media",'Mapa final'!#REF!="Catastrófico"),CONCATENATE("R9C",'Mapa final'!#REF!),"")</f>
        <v>#REF!</v>
      </c>
      <c r="AM34" s="57" t="e">
        <f>IF(AND('Mapa final'!#REF!="Media",'Mapa final'!#REF!="Catastrófico"),CONCATENATE("R9C",'Mapa final'!#REF!),"")</f>
        <v>#REF!</v>
      </c>
      <c r="AN34" s="84"/>
      <c r="AO34" s="354"/>
      <c r="AP34" s="355"/>
      <c r="AQ34" s="355"/>
      <c r="AR34" s="355"/>
      <c r="AS34" s="355"/>
      <c r="AT34" s="35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223"/>
      <c r="C35" s="223"/>
      <c r="D35" s="224"/>
      <c r="E35" s="326"/>
      <c r="F35" s="327"/>
      <c r="G35" s="327"/>
      <c r="H35" s="327"/>
      <c r="I35" s="341"/>
      <c r="J35" s="68" t="e">
        <f>IF(AND('Mapa final'!#REF!="Media",'Mapa final'!#REF!="Leve"),CONCATENATE("R10C",'Mapa final'!#REF!),"")</f>
        <v>#REF!</v>
      </c>
      <c r="K35" s="69" t="e">
        <f>IF(AND('Mapa final'!#REF!="Media",'Mapa final'!#REF!="Leve"),CONCATENATE("R10C",'Mapa final'!#REF!),"")</f>
        <v>#REF!</v>
      </c>
      <c r="L35" s="69" t="e">
        <f>IF(AND('Mapa final'!#REF!="Media",'Mapa final'!#REF!="Leve"),CONCATENATE("R10C",'Mapa final'!#REF!),"")</f>
        <v>#REF!</v>
      </c>
      <c r="M35" s="69" t="e">
        <f>IF(AND('Mapa final'!#REF!="Media",'Mapa final'!#REF!="Leve"),CONCATENATE("R10C",'Mapa final'!#REF!),"")</f>
        <v>#REF!</v>
      </c>
      <c r="N35" s="69" t="e">
        <f>IF(AND('Mapa final'!#REF!="Media",'Mapa final'!#REF!="Leve"),CONCATENATE("R10C",'Mapa final'!#REF!),"")</f>
        <v>#REF!</v>
      </c>
      <c r="O35" s="70" t="e">
        <f>IF(AND('Mapa final'!#REF!="Media",'Mapa final'!#REF!="Leve"),CONCATENATE("R10C",'Mapa final'!#REF!),"")</f>
        <v>#REF!</v>
      </c>
      <c r="P35" s="68" t="e">
        <f>IF(AND('Mapa final'!#REF!="Media",'Mapa final'!#REF!="Menor"),CONCATENATE("R10C",'Mapa final'!#REF!),"")</f>
        <v>#REF!</v>
      </c>
      <c r="Q35" s="69" t="e">
        <f>IF(AND('Mapa final'!#REF!="Media",'Mapa final'!#REF!="Menor"),CONCATENATE("R10C",'Mapa final'!#REF!),"")</f>
        <v>#REF!</v>
      </c>
      <c r="R35" s="69" t="e">
        <f>IF(AND('Mapa final'!#REF!="Media",'Mapa final'!#REF!="Menor"),CONCATENATE("R10C",'Mapa final'!#REF!),"")</f>
        <v>#REF!</v>
      </c>
      <c r="S35" s="69" t="e">
        <f>IF(AND('Mapa final'!#REF!="Media",'Mapa final'!#REF!="Menor"),CONCATENATE("R10C",'Mapa final'!#REF!),"")</f>
        <v>#REF!</v>
      </c>
      <c r="T35" s="69" t="e">
        <f>IF(AND('Mapa final'!#REF!="Media",'Mapa final'!#REF!="Menor"),CONCATENATE("R10C",'Mapa final'!#REF!),"")</f>
        <v>#REF!</v>
      </c>
      <c r="U35" s="70" t="e">
        <f>IF(AND('Mapa final'!#REF!="Media",'Mapa final'!#REF!="Menor"),CONCATENATE("R10C",'Mapa final'!#REF!),"")</f>
        <v>#REF!</v>
      </c>
      <c r="V35" s="68" t="e">
        <f>IF(AND('Mapa final'!#REF!="Media",'Mapa final'!#REF!="Moderado"),CONCATENATE("R10C",'Mapa final'!#REF!),"")</f>
        <v>#REF!</v>
      </c>
      <c r="W35" s="69" t="e">
        <f>IF(AND('Mapa final'!#REF!="Media",'Mapa final'!#REF!="Moderado"),CONCATENATE("R10C",'Mapa final'!#REF!),"")</f>
        <v>#REF!</v>
      </c>
      <c r="X35" s="69" t="e">
        <f>IF(AND('Mapa final'!#REF!="Media",'Mapa final'!#REF!="Moderado"),CONCATENATE("R10C",'Mapa final'!#REF!),"")</f>
        <v>#REF!</v>
      </c>
      <c r="Y35" s="69" t="e">
        <f>IF(AND('Mapa final'!#REF!="Media",'Mapa final'!#REF!="Moderado"),CONCATENATE("R10C",'Mapa final'!#REF!),"")</f>
        <v>#REF!</v>
      </c>
      <c r="Z35" s="69" t="e">
        <f>IF(AND('Mapa final'!#REF!="Media",'Mapa final'!#REF!="Moderado"),CONCATENATE("R10C",'Mapa final'!#REF!),"")</f>
        <v>#REF!</v>
      </c>
      <c r="AA35" s="70" t="e">
        <f>IF(AND('Mapa final'!#REF!="Media",'Mapa final'!#REF!="Moderado"),CONCATENATE("R10C",'Mapa final'!#REF!),"")</f>
        <v>#REF!</v>
      </c>
      <c r="AB35" s="59" t="e">
        <f>IF(AND('Mapa final'!#REF!="Media",'Mapa final'!#REF!="Mayor"),CONCATENATE("R10C",'Mapa final'!#REF!),"")</f>
        <v>#REF!</v>
      </c>
      <c r="AC35" s="60" t="e">
        <f>IF(AND('Mapa final'!#REF!="Media",'Mapa final'!#REF!="Mayor"),CONCATENATE("R10C",'Mapa final'!#REF!),"")</f>
        <v>#REF!</v>
      </c>
      <c r="AD35" s="60" t="e">
        <f>IF(AND('Mapa final'!#REF!="Media",'Mapa final'!#REF!="Mayor"),CONCATENATE("R10C",'Mapa final'!#REF!),"")</f>
        <v>#REF!</v>
      </c>
      <c r="AE35" s="60" t="e">
        <f>IF(AND('Mapa final'!#REF!="Media",'Mapa final'!#REF!="Mayor"),CONCATENATE("R10C",'Mapa final'!#REF!),"")</f>
        <v>#REF!</v>
      </c>
      <c r="AF35" s="60" t="e">
        <f>IF(AND('Mapa final'!#REF!="Media",'Mapa final'!#REF!="Mayor"),CONCATENATE("R10C",'Mapa final'!#REF!),"")</f>
        <v>#REF!</v>
      </c>
      <c r="AG35" s="61" t="e">
        <f>IF(AND('Mapa final'!#REF!="Media",'Mapa final'!#REF!="Mayor"),CONCATENATE("R10C",'Mapa final'!#REF!),"")</f>
        <v>#REF!</v>
      </c>
      <c r="AH35" s="62" t="e">
        <f>IF(AND('Mapa final'!#REF!="Media",'Mapa final'!#REF!="Catastrófico"),CONCATENATE("R10C",'Mapa final'!#REF!),"")</f>
        <v>#REF!</v>
      </c>
      <c r="AI35" s="63" t="e">
        <f>IF(AND('Mapa final'!#REF!="Media",'Mapa final'!#REF!="Catastrófico"),CONCATENATE("R10C",'Mapa final'!#REF!),"")</f>
        <v>#REF!</v>
      </c>
      <c r="AJ35" s="63" t="e">
        <f>IF(AND('Mapa final'!#REF!="Media",'Mapa final'!#REF!="Catastrófico"),CONCATENATE("R10C",'Mapa final'!#REF!),"")</f>
        <v>#REF!</v>
      </c>
      <c r="AK35" s="63" t="e">
        <f>IF(AND('Mapa final'!#REF!="Media",'Mapa final'!#REF!="Catastrófico"),CONCATENATE("R10C",'Mapa final'!#REF!),"")</f>
        <v>#REF!</v>
      </c>
      <c r="AL35" s="63" t="e">
        <f>IF(AND('Mapa final'!#REF!="Media",'Mapa final'!#REF!="Catastrófico"),CONCATENATE("R10C",'Mapa final'!#REF!),"")</f>
        <v>#REF!</v>
      </c>
      <c r="AM35" s="64" t="e">
        <f>IF(AND('Mapa final'!#REF!="Media",'Mapa final'!#REF!="Catastrófico"),CONCATENATE("R10C",'Mapa final'!#REF!),"")</f>
        <v>#REF!</v>
      </c>
      <c r="AN35" s="84"/>
      <c r="AO35" s="357"/>
      <c r="AP35" s="358"/>
      <c r="AQ35" s="358"/>
      <c r="AR35" s="358"/>
      <c r="AS35" s="358"/>
      <c r="AT35" s="35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223"/>
      <c r="C36" s="223"/>
      <c r="D36" s="224"/>
      <c r="E36" s="320" t="s">
        <v>114</v>
      </c>
      <c r="F36" s="321"/>
      <c r="G36" s="321"/>
      <c r="H36" s="321"/>
      <c r="I36" s="321"/>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42" t="s">
        <v>82</v>
      </c>
      <c r="AP36" s="343"/>
      <c r="AQ36" s="343"/>
      <c r="AR36" s="343"/>
      <c r="AS36" s="343"/>
      <c r="AT36" s="34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223"/>
      <c r="C37" s="223"/>
      <c r="D37" s="224"/>
      <c r="E37" s="322"/>
      <c r="F37" s="323"/>
      <c r="G37" s="323"/>
      <c r="H37" s="323"/>
      <c r="I37" s="323"/>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45"/>
      <c r="AP37" s="346"/>
      <c r="AQ37" s="346"/>
      <c r="AR37" s="346"/>
      <c r="AS37" s="346"/>
      <c r="AT37" s="34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223"/>
      <c r="C38" s="223"/>
      <c r="D38" s="224"/>
      <c r="E38" s="324"/>
      <c r="F38" s="325"/>
      <c r="G38" s="325"/>
      <c r="H38" s="325"/>
      <c r="I38" s="323"/>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45"/>
      <c r="AP38" s="346"/>
      <c r="AQ38" s="346"/>
      <c r="AR38" s="346"/>
      <c r="AS38" s="346"/>
      <c r="AT38" s="347"/>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223"/>
      <c r="C39" s="223"/>
      <c r="D39" s="224"/>
      <c r="E39" s="324"/>
      <c r="F39" s="325"/>
      <c r="G39" s="325"/>
      <c r="H39" s="325"/>
      <c r="I39" s="323"/>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45"/>
      <c r="AP39" s="346"/>
      <c r="AQ39" s="346"/>
      <c r="AR39" s="346"/>
      <c r="AS39" s="346"/>
      <c r="AT39" s="347"/>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223"/>
      <c r="C40" s="223"/>
      <c r="D40" s="224"/>
      <c r="E40" s="324"/>
      <c r="F40" s="325"/>
      <c r="G40" s="325"/>
      <c r="H40" s="325"/>
      <c r="I40" s="323"/>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45"/>
      <c r="AP40" s="346"/>
      <c r="AQ40" s="346"/>
      <c r="AR40" s="346"/>
      <c r="AS40" s="346"/>
      <c r="AT40" s="347"/>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223"/>
      <c r="C41" s="223"/>
      <c r="D41" s="224"/>
      <c r="E41" s="324"/>
      <c r="F41" s="325"/>
      <c r="G41" s="325"/>
      <c r="H41" s="325"/>
      <c r="I41" s="323"/>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R6C1</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45"/>
      <c r="AP41" s="346"/>
      <c r="AQ41" s="346"/>
      <c r="AR41" s="346"/>
      <c r="AS41" s="346"/>
      <c r="AT41" s="347"/>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223"/>
      <c r="C42" s="223"/>
      <c r="D42" s="224"/>
      <c r="E42" s="324"/>
      <c r="F42" s="325"/>
      <c r="G42" s="325"/>
      <c r="H42" s="325"/>
      <c r="I42" s="323"/>
      <c r="J42" s="77" t="str">
        <f>IF(AND('Mapa final'!$Y$16="Baja",'Mapa final'!$AA$16="Leve"),CONCATENATE("R7C",'Mapa final'!$O$16),"")</f>
        <v/>
      </c>
      <c r="K42" s="78" t="e">
        <f>IF(AND('Mapa final'!#REF!="Baja",'Mapa final'!#REF!="Leve"),CONCATENATE("R7C",'Mapa final'!#REF!),"")</f>
        <v>#REF!</v>
      </c>
      <c r="L42" s="78" t="e">
        <f>IF(AND('Mapa final'!#REF!="Baja",'Mapa final'!#REF!="Leve"),CONCATENATE("R7C",'Mapa final'!#REF!),"")</f>
        <v>#REF!</v>
      </c>
      <c r="M42" s="78" t="e">
        <f>IF(AND('Mapa final'!#REF!="Baja",'Mapa final'!#REF!="Leve"),CONCATENATE("R7C",'Mapa final'!#REF!),"")</f>
        <v>#REF!</v>
      </c>
      <c r="N42" s="78" t="e">
        <f>IF(AND('Mapa final'!#REF!="Baja",'Mapa final'!#REF!="Leve"),CONCATENATE("R7C",'Mapa final'!#REF!),"")</f>
        <v>#REF!</v>
      </c>
      <c r="O42" s="79" t="e">
        <f>IF(AND('Mapa final'!#REF!="Baja",'Mapa final'!#REF!="Leve"),CONCATENATE("R7C",'Mapa final'!#REF!),"")</f>
        <v>#REF!</v>
      </c>
      <c r="P42" s="68" t="str">
        <f>IF(AND('Mapa final'!$Y$16="Baja",'Mapa final'!$AA$16="Menor"),CONCATENATE("R7C",'Mapa final'!$O$16),"")</f>
        <v/>
      </c>
      <c r="Q42" s="69" t="e">
        <f>IF(AND('Mapa final'!#REF!="Baja",'Mapa final'!#REF!="Menor"),CONCATENATE("R7C",'Mapa final'!#REF!),"")</f>
        <v>#REF!</v>
      </c>
      <c r="R42" s="69" t="e">
        <f>IF(AND('Mapa final'!#REF!="Baja",'Mapa final'!#REF!="Menor"),CONCATENATE("R7C",'Mapa final'!#REF!),"")</f>
        <v>#REF!</v>
      </c>
      <c r="S42" s="69" t="e">
        <f>IF(AND('Mapa final'!#REF!="Baja",'Mapa final'!#REF!="Menor"),CONCATENATE("R7C",'Mapa final'!#REF!),"")</f>
        <v>#REF!</v>
      </c>
      <c r="T42" s="69" t="e">
        <f>IF(AND('Mapa final'!#REF!="Baja",'Mapa final'!#REF!="Menor"),CONCATENATE("R7C",'Mapa final'!#REF!),"")</f>
        <v>#REF!</v>
      </c>
      <c r="U42" s="70" t="e">
        <f>IF(AND('Mapa final'!#REF!="Baja",'Mapa final'!#REF!="Menor"),CONCATENATE("R7C",'Mapa final'!#REF!),"")</f>
        <v>#REF!</v>
      </c>
      <c r="V42" s="68" t="str">
        <f>IF(AND('Mapa final'!$Y$16="Baja",'Mapa final'!$AA$16="Moderado"),CONCATENATE("R7C",'Mapa final'!$O$16),"")</f>
        <v/>
      </c>
      <c r="W42" s="69" t="e">
        <f>IF(AND('Mapa final'!#REF!="Baja",'Mapa final'!#REF!="Moderado"),CONCATENATE("R7C",'Mapa final'!#REF!),"")</f>
        <v>#REF!</v>
      </c>
      <c r="X42" s="69" t="e">
        <f>IF(AND('Mapa final'!#REF!="Baja",'Mapa final'!#REF!="Moderado"),CONCATENATE("R7C",'Mapa final'!#REF!),"")</f>
        <v>#REF!</v>
      </c>
      <c r="Y42" s="69" t="e">
        <f>IF(AND('Mapa final'!#REF!="Baja",'Mapa final'!#REF!="Moderado"),CONCATENATE("R7C",'Mapa final'!#REF!),"")</f>
        <v>#REF!</v>
      </c>
      <c r="Z42" s="69" t="e">
        <f>IF(AND('Mapa final'!#REF!="Baja",'Mapa final'!#REF!="Moderado"),CONCATENATE("R7C",'Mapa final'!#REF!),"")</f>
        <v>#REF!</v>
      </c>
      <c r="AA42" s="70" t="e">
        <f>IF(AND('Mapa final'!#REF!="Baja",'Mapa final'!#REF!="Moderado"),CONCATENATE("R7C",'Mapa final'!#REF!),"")</f>
        <v>#REF!</v>
      </c>
      <c r="AB42" s="52" t="str">
        <f>IF(AND('Mapa final'!$Y$16="Baja",'Mapa final'!$AA$16="Mayor"),CONCATENATE("R7C",'Mapa final'!$O$16),"")</f>
        <v/>
      </c>
      <c r="AC42" s="53" t="e">
        <f>IF(AND('Mapa final'!#REF!="Baja",'Mapa final'!#REF!="Mayor"),CONCATENATE("R7C",'Mapa final'!#REF!),"")</f>
        <v>#REF!</v>
      </c>
      <c r="AD42" s="58" t="e">
        <f>IF(AND('Mapa final'!#REF!="Baja",'Mapa final'!#REF!="Mayor"),CONCATENATE("R7C",'Mapa final'!#REF!),"")</f>
        <v>#REF!</v>
      </c>
      <c r="AE42" s="58" t="e">
        <f>IF(AND('Mapa final'!#REF!="Baja",'Mapa final'!#REF!="Mayor"),CONCATENATE("R7C",'Mapa final'!#REF!),"")</f>
        <v>#REF!</v>
      </c>
      <c r="AF42" s="58" t="e">
        <f>IF(AND('Mapa final'!#REF!="Baja",'Mapa final'!#REF!="Mayor"),CONCATENATE("R7C",'Mapa final'!#REF!),"")</f>
        <v>#REF!</v>
      </c>
      <c r="AG42" s="54" t="e">
        <f>IF(AND('Mapa final'!#REF!="Baja",'Mapa final'!#REF!="Mayor"),CONCATENATE("R7C",'Mapa final'!#REF!),"")</f>
        <v>#REF!</v>
      </c>
      <c r="AH42" s="55" t="str">
        <f>IF(AND('Mapa final'!$Y$16="Baja",'Mapa final'!$AA$16="Catastrófico"),CONCATENATE("R7C",'Mapa final'!$O$16),"")</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4"/>
      <c r="AO42" s="345"/>
      <c r="AP42" s="346"/>
      <c r="AQ42" s="346"/>
      <c r="AR42" s="346"/>
      <c r="AS42" s="346"/>
      <c r="AT42" s="347"/>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223"/>
      <c r="C43" s="223"/>
      <c r="D43" s="224"/>
      <c r="E43" s="324"/>
      <c r="F43" s="325"/>
      <c r="G43" s="325"/>
      <c r="H43" s="325"/>
      <c r="I43" s="323"/>
      <c r="J43" s="77" t="e">
        <f>IF(AND('Mapa final'!#REF!="Baja",'Mapa final'!#REF!="Leve"),CONCATENATE("R8C",'Mapa final'!#REF!),"")</f>
        <v>#REF!</v>
      </c>
      <c r="K43" s="78" t="e">
        <f>IF(AND('Mapa final'!#REF!="Baja",'Mapa final'!#REF!="Leve"),CONCATENATE("R8C",'Mapa final'!#REF!),"")</f>
        <v>#REF!</v>
      </c>
      <c r="L43" s="78" t="e">
        <f>IF(AND('Mapa final'!#REF!="Baja",'Mapa final'!#REF!="Leve"),CONCATENATE("R8C",'Mapa final'!#REF!),"")</f>
        <v>#REF!</v>
      </c>
      <c r="M43" s="78" t="e">
        <f>IF(AND('Mapa final'!#REF!="Baja",'Mapa final'!#REF!="Leve"),CONCATENATE("R8C",'Mapa final'!#REF!),"")</f>
        <v>#REF!</v>
      </c>
      <c r="N43" s="78" t="e">
        <f>IF(AND('Mapa final'!#REF!="Baja",'Mapa final'!#REF!="Leve"),CONCATENATE("R8C",'Mapa final'!#REF!),"")</f>
        <v>#REF!</v>
      </c>
      <c r="O43" s="79" t="e">
        <f>IF(AND('Mapa final'!#REF!="Baja",'Mapa final'!#REF!="Leve"),CONCATENATE("R8C",'Mapa final'!#REF!),"")</f>
        <v>#REF!</v>
      </c>
      <c r="P43" s="68" t="e">
        <f>IF(AND('Mapa final'!#REF!="Baja",'Mapa final'!#REF!="Menor"),CONCATENATE("R8C",'Mapa final'!#REF!),"")</f>
        <v>#REF!</v>
      </c>
      <c r="Q43" s="69" t="e">
        <f>IF(AND('Mapa final'!#REF!="Baja",'Mapa final'!#REF!="Menor"),CONCATENATE("R8C",'Mapa final'!#REF!),"")</f>
        <v>#REF!</v>
      </c>
      <c r="R43" s="69" t="e">
        <f>IF(AND('Mapa final'!#REF!="Baja",'Mapa final'!#REF!="Menor"),CONCATENATE("R8C",'Mapa final'!#REF!),"")</f>
        <v>#REF!</v>
      </c>
      <c r="S43" s="69" t="e">
        <f>IF(AND('Mapa final'!#REF!="Baja",'Mapa final'!#REF!="Menor"),CONCATENATE("R8C",'Mapa final'!#REF!),"")</f>
        <v>#REF!</v>
      </c>
      <c r="T43" s="69" t="e">
        <f>IF(AND('Mapa final'!#REF!="Baja",'Mapa final'!#REF!="Menor"),CONCATENATE("R8C",'Mapa final'!#REF!),"")</f>
        <v>#REF!</v>
      </c>
      <c r="U43" s="70" t="e">
        <f>IF(AND('Mapa final'!#REF!="Baja",'Mapa final'!#REF!="Menor"),CONCATENATE("R8C",'Mapa final'!#REF!),"")</f>
        <v>#REF!</v>
      </c>
      <c r="V43" s="68" t="e">
        <f>IF(AND('Mapa final'!#REF!="Baja",'Mapa final'!#REF!="Moderado"),CONCATENATE("R8C",'Mapa final'!#REF!),"")</f>
        <v>#REF!</v>
      </c>
      <c r="W43" s="69" t="e">
        <f>IF(AND('Mapa final'!#REF!="Baja",'Mapa final'!#REF!="Moderado"),CONCATENATE("R8C",'Mapa final'!#REF!),"")</f>
        <v>#REF!</v>
      </c>
      <c r="X43" s="69" t="e">
        <f>IF(AND('Mapa final'!#REF!="Baja",'Mapa final'!#REF!="Moderado"),CONCATENATE("R8C",'Mapa final'!#REF!),"")</f>
        <v>#REF!</v>
      </c>
      <c r="Y43" s="69" t="e">
        <f>IF(AND('Mapa final'!#REF!="Baja",'Mapa final'!#REF!="Moderado"),CONCATENATE("R8C",'Mapa final'!#REF!),"")</f>
        <v>#REF!</v>
      </c>
      <c r="Z43" s="69" t="e">
        <f>IF(AND('Mapa final'!#REF!="Baja",'Mapa final'!#REF!="Moderado"),CONCATENATE("R8C",'Mapa final'!#REF!),"")</f>
        <v>#REF!</v>
      </c>
      <c r="AA43" s="70" t="e">
        <f>IF(AND('Mapa final'!#REF!="Baja",'Mapa final'!#REF!="Moderado"),CONCATENATE("R8C",'Mapa final'!#REF!),"")</f>
        <v>#REF!</v>
      </c>
      <c r="AB43" s="52" t="e">
        <f>IF(AND('Mapa final'!#REF!="Baja",'Mapa final'!#REF!="Mayor"),CONCATENATE("R8C",'Mapa final'!#REF!),"")</f>
        <v>#REF!</v>
      </c>
      <c r="AC43" s="53" t="e">
        <f>IF(AND('Mapa final'!#REF!="Baja",'Mapa final'!#REF!="Mayor"),CONCATENATE("R8C",'Mapa final'!#REF!),"")</f>
        <v>#REF!</v>
      </c>
      <c r="AD43" s="58" t="e">
        <f>IF(AND('Mapa final'!#REF!="Baja",'Mapa final'!#REF!="Mayor"),CONCATENATE("R8C",'Mapa final'!#REF!),"")</f>
        <v>#REF!</v>
      </c>
      <c r="AE43" s="58" t="e">
        <f>IF(AND('Mapa final'!#REF!="Baja",'Mapa final'!#REF!="Mayor"),CONCATENATE("R8C",'Mapa final'!#REF!),"")</f>
        <v>#REF!</v>
      </c>
      <c r="AF43" s="58" t="e">
        <f>IF(AND('Mapa final'!#REF!="Baja",'Mapa final'!#REF!="Mayor"),CONCATENATE("R8C",'Mapa final'!#REF!),"")</f>
        <v>#REF!</v>
      </c>
      <c r="AG43" s="54" t="e">
        <f>IF(AND('Mapa final'!#REF!="Baja",'Mapa final'!#REF!="Mayor"),CONCATENATE("R8C",'Mapa final'!#REF!),"")</f>
        <v>#REF!</v>
      </c>
      <c r="AH43" s="55" t="e">
        <f>IF(AND('Mapa final'!#REF!="Baja",'Mapa final'!#REF!="Catastrófico"),CONCATENATE("R8C",'Mapa final'!#REF!),"")</f>
        <v>#REF!</v>
      </c>
      <c r="AI43" s="56" t="e">
        <f>IF(AND('Mapa final'!#REF!="Baja",'Mapa final'!#REF!="Catastrófico"),CONCATENATE("R8C",'Mapa final'!#REF!),"")</f>
        <v>#REF!</v>
      </c>
      <c r="AJ43" s="56" t="e">
        <f>IF(AND('Mapa final'!#REF!="Baja",'Mapa final'!#REF!="Catastrófico"),CONCATENATE("R8C",'Mapa final'!#REF!),"")</f>
        <v>#REF!</v>
      </c>
      <c r="AK43" s="56" t="e">
        <f>IF(AND('Mapa final'!#REF!="Baja",'Mapa final'!#REF!="Catastrófico"),CONCATENATE("R8C",'Mapa final'!#REF!),"")</f>
        <v>#REF!</v>
      </c>
      <c r="AL43" s="56" t="e">
        <f>IF(AND('Mapa final'!#REF!="Baja",'Mapa final'!#REF!="Catastrófico"),CONCATENATE("R8C",'Mapa final'!#REF!),"")</f>
        <v>#REF!</v>
      </c>
      <c r="AM43" s="57" t="e">
        <f>IF(AND('Mapa final'!#REF!="Baja",'Mapa final'!#REF!="Catastrófico"),CONCATENATE("R8C",'Mapa final'!#REF!),"")</f>
        <v>#REF!</v>
      </c>
      <c r="AN43" s="84"/>
      <c r="AO43" s="345"/>
      <c r="AP43" s="346"/>
      <c r="AQ43" s="346"/>
      <c r="AR43" s="346"/>
      <c r="AS43" s="346"/>
      <c r="AT43" s="347"/>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223"/>
      <c r="C44" s="223"/>
      <c r="D44" s="224"/>
      <c r="E44" s="324"/>
      <c r="F44" s="325"/>
      <c r="G44" s="325"/>
      <c r="H44" s="325"/>
      <c r="I44" s="323"/>
      <c r="J44" s="77" t="e">
        <f>IF(AND('Mapa final'!#REF!="Baja",'Mapa final'!#REF!="Leve"),CONCATENATE("R9C",'Mapa final'!#REF!),"")</f>
        <v>#REF!</v>
      </c>
      <c r="K44" s="78" t="e">
        <f>IF(AND('Mapa final'!#REF!="Baja",'Mapa final'!#REF!="Leve"),CONCATENATE("R9C",'Mapa final'!#REF!),"")</f>
        <v>#REF!</v>
      </c>
      <c r="L44" s="78" t="e">
        <f>IF(AND('Mapa final'!#REF!="Baja",'Mapa final'!#REF!="Leve"),CONCATENATE("R9C",'Mapa final'!#REF!),"")</f>
        <v>#REF!</v>
      </c>
      <c r="M44" s="78" t="e">
        <f>IF(AND('Mapa final'!#REF!="Baja",'Mapa final'!#REF!="Leve"),CONCATENATE("R9C",'Mapa final'!#REF!),"")</f>
        <v>#REF!</v>
      </c>
      <c r="N44" s="78" t="e">
        <f>IF(AND('Mapa final'!#REF!="Baja",'Mapa final'!#REF!="Leve"),CONCATENATE("R9C",'Mapa final'!#REF!),"")</f>
        <v>#REF!</v>
      </c>
      <c r="O44" s="79" t="e">
        <f>IF(AND('Mapa final'!#REF!="Baja",'Mapa final'!#REF!="Leve"),CONCATENATE("R9C",'Mapa final'!#REF!),"")</f>
        <v>#REF!</v>
      </c>
      <c r="P44" s="68" t="e">
        <f>IF(AND('Mapa final'!#REF!="Baja",'Mapa final'!#REF!="Menor"),CONCATENATE("R9C",'Mapa final'!#REF!),"")</f>
        <v>#REF!</v>
      </c>
      <c r="Q44" s="69" t="e">
        <f>IF(AND('Mapa final'!#REF!="Baja",'Mapa final'!#REF!="Menor"),CONCATENATE("R9C",'Mapa final'!#REF!),"")</f>
        <v>#REF!</v>
      </c>
      <c r="R44" s="69" t="e">
        <f>IF(AND('Mapa final'!#REF!="Baja",'Mapa final'!#REF!="Menor"),CONCATENATE("R9C",'Mapa final'!#REF!),"")</f>
        <v>#REF!</v>
      </c>
      <c r="S44" s="69" t="e">
        <f>IF(AND('Mapa final'!#REF!="Baja",'Mapa final'!#REF!="Menor"),CONCATENATE("R9C",'Mapa final'!#REF!),"")</f>
        <v>#REF!</v>
      </c>
      <c r="T44" s="69" t="e">
        <f>IF(AND('Mapa final'!#REF!="Baja",'Mapa final'!#REF!="Menor"),CONCATENATE("R9C",'Mapa final'!#REF!),"")</f>
        <v>#REF!</v>
      </c>
      <c r="U44" s="70" t="e">
        <f>IF(AND('Mapa final'!#REF!="Baja",'Mapa final'!#REF!="Menor"),CONCATENATE("R9C",'Mapa final'!#REF!),"")</f>
        <v>#REF!</v>
      </c>
      <c r="V44" s="68" t="e">
        <f>IF(AND('Mapa final'!#REF!="Baja",'Mapa final'!#REF!="Moderado"),CONCATENATE("R9C",'Mapa final'!#REF!),"")</f>
        <v>#REF!</v>
      </c>
      <c r="W44" s="69" t="e">
        <f>IF(AND('Mapa final'!#REF!="Baja",'Mapa final'!#REF!="Moderado"),CONCATENATE("R9C",'Mapa final'!#REF!),"")</f>
        <v>#REF!</v>
      </c>
      <c r="X44" s="69" t="e">
        <f>IF(AND('Mapa final'!#REF!="Baja",'Mapa final'!#REF!="Moderado"),CONCATENATE("R9C",'Mapa final'!#REF!),"")</f>
        <v>#REF!</v>
      </c>
      <c r="Y44" s="69" t="e">
        <f>IF(AND('Mapa final'!#REF!="Baja",'Mapa final'!#REF!="Moderado"),CONCATENATE("R9C",'Mapa final'!#REF!),"")</f>
        <v>#REF!</v>
      </c>
      <c r="Z44" s="69" t="e">
        <f>IF(AND('Mapa final'!#REF!="Baja",'Mapa final'!#REF!="Moderado"),CONCATENATE("R9C",'Mapa final'!#REF!),"")</f>
        <v>#REF!</v>
      </c>
      <c r="AA44" s="70" t="e">
        <f>IF(AND('Mapa final'!#REF!="Baja",'Mapa final'!#REF!="Moderado"),CONCATENATE("R9C",'Mapa final'!#REF!),"")</f>
        <v>#REF!</v>
      </c>
      <c r="AB44" s="52" t="e">
        <f>IF(AND('Mapa final'!#REF!="Baja",'Mapa final'!#REF!="Mayor"),CONCATENATE("R9C",'Mapa final'!#REF!),"")</f>
        <v>#REF!</v>
      </c>
      <c r="AC44" s="53" t="e">
        <f>IF(AND('Mapa final'!#REF!="Baja",'Mapa final'!#REF!="Mayor"),CONCATENATE("R9C",'Mapa final'!#REF!),"")</f>
        <v>#REF!</v>
      </c>
      <c r="AD44" s="58" t="e">
        <f>IF(AND('Mapa final'!#REF!="Baja",'Mapa final'!#REF!="Mayor"),CONCATENATE("R9C",'Mapa final'!#REF!),"")</f>
        <v>#REF!</v>
      </c>
      <c r="AE44" s="58" t="e">
        <f>IF(AND('Mapa final'!#REF!="Baja",'Mapa final'!#REF!="Mayor"),CONCATENATE("R9C",'Mapa final'!#REF!),"")</f>
        <v>#REF!</v>
      </c>
      <c r="AF44" s="58" t="e">
        <f>IF(AND('Mapa final'!#REF!="Baja",'Mapa final'!#REF!="Mayor"),CONCATENATE("R9C",'Mapa final'!#REF!),"")</f>
        <v>#REF!</v>
      </c>
      <c r="AG44" s="54" t="e">
        <f>IF(AND('Mapa final'!#REF!="Baja",'Mapa final'!#REF!="Mayor"),CONCATENATE("R9C",'Mapa final'!#REF!),"")</f>
        <v>#REF!</v>
      </c>
      <c r="AH44" s="55" t="e">
        <f>IF(AND('Mapa final'!#REF!="Baja",'Mapa final'!#REF!="Catastrófico"),CONCATENATE("R9C",'Mapa final'!#REF!),"")</f>
        <v>#REF!</v>
      </c>
      <c r="AI44" s="56" t="e">
        <f>IF(AND('Mapa final'!#REF!="Baja",'Mapa final'!#REF!="Catastrófico"),CONCATENATE("R9C",'Mapa final'!#REF!),"")</f>
        <v>#REF!</v>
      </c>
      <c r="AJ44" s="56" t="e">
        <f>IF(AND('Mapa final'!#REF!="Baja",'Mapa final'!#REF!="Catastrófico"),CONCATENATE("R9C",'Mapa final'!#REF!),"")</f>
        <v>#REF!</v>
      </c>
      <c r="AK44" s="56" t="e">
        <f>IF(AND('Mapa final'!#REF!="Baja",'Mapa final'!#REF!="Catastrófico"),CONCATENATE("R9C",'Mapa final'!#REF!),"")</f>
        <v>#REF!</v>
      </c>
      <c r="AL44" s="56" t="e">
        <f>IF(AND('Mapa final'!#REF!="Baja",'Mapa final'!#REF!="Catastrófico"),CONCATENATE("R9C",'Mapa final'!#REF!),"")</f>
        <v>#REF!</v>
      </c>
      <c r="AM44" s="57" t="e">
        <f>IF(AND('Mapa final'!#REF!="Baja",'Mapa final'!#REF!="Catastrófico"),CONCATENATE("R9C",'Mapa final'!#REF!),"")</f>
        <v>#REF!</v>
      </c>
      <c r="AN44" s="84"/>
      <c r="AO44" s="345"/>
      <c r="AP44" s="346"/>
      <c r="AQ44" s="346"/>
      <c r="AR44" s="346"/>
      <c r="AS44" s="346"/>
      <c r="AT44" s="347"/>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223"/>
      <c r="C45" s="223"/>
      <c r="D45" s="224"/>
      <c r="E45" s="326"/>
      <c r="F45" s="327"/>
      <c r="G45" s="327"/>
      <c r="H45" s="327"/>
      <c r="I45" s="327"/>
      <c r="J45" s="80" t="e">
        <f>IF(AND('Mapa final'!#REF!="Baja",'Mapa final'!#REF!="Leve"),CONCATENATE("R10C",'Mapa final'!#REF!),"")</f>
        <v>#REF!</v>
      </c>
      <c r="K45" s="81" t="e">
        <f>IF(AND('Mapa final'!#REF!="Baja",'Mapa final'!#REF!="Leve"),CONCATENATE("R10C",'Mapa final'!#REF!),"")</f>
        <v>#REF!</v>
      </c>
      <c r="L45" s="81" t="e">
        <f>IF(AND('Mapa final'!#REF!="Baja",'Mapa final'!#REF!="Leve"),CONCATENATE("R10C",'Mapa final'!#REF!),"")</f>
        <v>#REF!</v>
      </c>
      <c r="M45" s="81" t="e">
        <f>IF(AND('Mapa final'!#REF!="Baja",'Mapa final'!#REF!="Leve"),CONCATENATE("R10C",'Mapa final'!#REF!),"")</f>
        <v>#REF!</v>
      </c>
      <c r="N45" s="81" t="e">
        <f>IF(AND('Mapa final'!#REF!="Baja",'Mapa final'!#REF!="Leve"),CONCATENATE("R10C",'Mapa final'!#REF!),"")</f>
        <v>#REF!</v>
      </c>
      <c r="O45" s="82" t="e">
        <f>IF(AND('Mapa final'!#REF!="Baja",'Mapa final'!#REF!="Leve"),CONCATENATE("R10C",'Mapa final'!#REF!),"")</f>
        <v>#REF!</v>
      </c>
      <c r="P45" s="68" t="e">
        <f>IF(AND('Mapa final'!#REF!="Baja",'Mapa final'!#REF!="Menor"),CONCATENATE("R10C",'Mapa final'!#REF!),"")</f>
        <v>#REF!</v>
      </c>
      <c r="Q45" s="69" t="e">
        <f>IF(AND('Mapa final'!#REF!="Baja",'Mapa final'!#REF!="Menor"),CONCATENATE("R10C",'Mapa final'!#REF!),"")</f>
        <v>#REF!</v>
      </c>
      <c r="R45" s="69" t="e">
        <f>IF(AND('Mapa final'!#REF!="Baja",'Mapa final'!#REF!="Menor"),CONCATENATE("R10C",'Mapa final'!#REF!),"")</f>
        <v>#REF!</v>
      </c>
      <c r="S45" s="69" t="e">
        <f>IF(AND('Mapa final'!#REF!="Baja",'Mapa final'!#REF!="Menor"),CONCATENATE("R10C",'Mapa final'!#REF!),"")</f>
        <v>#REF!</v>
      </c>
      <c r="T45" s="69" t="e">
        <f>IF(AND('Mapa final'!#REF!="Baja",'Mapa final'!#REF!="Menor"),CONCATENATE("R10C",'Mapa final'!#REF!),"")</f>
        <v>#REF!</v>
      </c>
      <c r="U45" s="70" t="e">
        <f>IF(AND('Mapa final'!#REF!="Baja",'Mapa final'!#REF!="Menor"),CONCATENATE("R10C",'Mapa final'!#REF!),"")</f>
        <v>#REF!</v>
      </c>
      <c r="V45" s="71" t="e">
        <f>IF(AND('Mapa final'!#REF!="Baja",'Mapa final'!#REF!="Moderado"),CONCATENATE("R10C",'Mapa final'!#REF!),"")</f>
        <v>#REF!</v>
      </c>
      <c r="W45" s="72" t="e">
        <f>IF(AND('Mapa final'!#REF!="Baja",'Mapa final'!#REF!="Moderado"),CONCATENATE("R10C",'Mapa final'!#REF!),"")</f>
        <v>#REF!</v>
      </c>
      <c r="X45" s="72" t="e">
        <f>IF(AND('Mapa final'!#REF!="Baja",'Mapa final'!#REF!="Moderado"),CONCATENATE("R10C",'Mapa final'!#REF!),"")</f>
        <v>#REF!</v>
      </c>
      <c r="Y45" s="72" t="e">
        <f>IF(AND('Mapa final'!#REF!="Baja",'Mapa final'!#REF!="Moderado"),CONCATENATE("R10C",'Mapa final'!#REF!),"")</f>
        <v>#REF!</v>
      </c>
      <c r="Z45" s="72" t="e">
        <f>IF(AND('Mapa final'!#REF!="Baja",'Mapa final'!#REF!="Moderado"),CONCATENATE("R10C",'Mapa final'!#REF!),"")</f>
        <v>#REF!</v>
      </c>
      <c r="AA45" s="73" t="e">
        <f>IF(AND('Mapa final'!#REF!="Baja",'Mapa final'!#REF!="Moderado"),CONCATENATE("R10C",'Mapa final'!#REF!),"")</f>
        <v>#REF!</v>
      </c>
      <c r="AB45" s="59" t="e">
        <f>IF(AND('Mapa final'!#REF!="Baja",'Mapa final'!#REF!="Mayor"),CONCATENATE("R10C",'Mapa final'!#REF!),"")</f>
        <v>#REF!</v>
      </c>
      <c r="AC45" s="60" t="e">
        <f>IF(AND('Mapa final'!#REF!="Baja",'Mapa final'!#REF!="Mayor"),CONCATENATE("R10C",'Mapa final'!#REF!),"")</f>
        <v>#REF!</v>
      </c>
      <c r="AD45" s="60" t="e">
        <f>IF(AND('Mapa final'!#REF!="Baja",'Mapa final'!#REF!="Mayor"),CONCATENATE("R10C",'Mapa final'!#REF!),"")</f>
        <v>#REF!</v>
      </c>
      <c r="AE45" s="60" t="e">
        <f>IF(AND('Mapa final'!#REF!="Baja",'Mapa final'!#REF!="Mayor"),CONCATENATE("R10C",'Mapa final'!#REF!),"")</f>
        <v>#REF!</v>
      </c>
      <c r="AF45" s="60" t="e">
        <f>IF(AND('Mapa final'!#REF!="Baja",'Mapa final'!#REF!="Mayor"),CONCATENATE("R10C",'Mapa final'!#REF!),"")</f>
        <v>#REF!</v>
      </c>
      <c r="AG45" s="61" t="e">
        <f>IF(AND('Mapa final'!#REF!="Baja",'Mapa final'!#REF!="Mayor"),CONCATENATE("R10C",'Mapa final'!#REF!),"")</f>
        <v>#REF!</v>
      </c>
      <c r="AH45" s="62" t="e">
        <f>IF(AND('Mapa final'!#REF!="Baja",'Mapa final'!#REF!="Catastrófico"),CONCATENATE("R10C",'Mapa final'!#REF!),"")</f>
        <v>#REF!</v>
      </c>
      <c r="AI45" s="63" t="e">
        <f>IF(AND('Mapa final'!#REF!="Baja",'Mapa final'!#REF!="Catastrófico"),CONCATENATE("R10C",'Mapa final'!#REF!),"")</f>
        <v>#REF!</v>
      </c>
      <c r="AJ45" s="63" t="e">
        <f>IF(AND('Mapa final'!#REF!="Baja",'Mapa final'!#REF!="Catastrófico"),CONCATENATE("R10C",'Mapa final'!#REF!),"")</f>
        <v>#REF!</v>
      </c>
      <c r="AK45" s="63" t="e">
        <f>IF(AND('Mapa final'!#REF!="Baja",'Mapa final'!#REF!="Catastrófico"),CONCATENATE("R10C",'Mapa final'!#REF!),"")</f>
        <v>#REF!</v>
      </c>
      <c r="AL45" s="63" t="e">
        <f>IF(AND('Mapa final'!#REF!="Baja",'Mapa final'!#REF!="Catastrófico"),CONCATENATE("R10C",'Mapa final'!#REF!),"")</f>
        <v>#REF!</v>
      </c>
      <c r="AM45" s="64" t="e">
        <f>IF(AND('Mapa final'!#REF!="Baja",'Mapa final'!#REF!="Catastrófico"),CONCATENATE("R10C",'Mapa final'!#REF!),"")</f>
        <v>#REF!</v>
      </c>
      <c r="AN45" s="84"/>
      <c r="AO45" s="348"/>
      <c r="AP45" s="349"/>
      <c r="AQ45" s="349"/>
      <c r="AR45" s="349"/>
      <c r="AS45" s="349"/>
      <c r="AT45" s="350"/>
    </row>
    <row r="46" spans="1:80" ht="46.5" customHeight="1" x14ac:dyDescent="0.6">
      <c r="A46" s="84"/>
      <c r="B46" s="223"/>
      <c r="C46" s="223"/>
      <c r="D46" s="224"/>
      <c r="E46" s="320" t="s">
        <v>113</v>
      </c>
      <c r="F46" s="321"/>
      <c r="G46" s="321"/>
      <c r="H46" s="321"/>
      <c r="I46" s="339"/>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223"/>
      <c r="C47" s="223"/>
      <c r="D47" s="224"/>
      <c r="E47" s="322"/>
      <c r="F47" s="323"/>
      <c r="G47" s="323"/>
      <c r="H47" s="323"/>
      <c r="I47" s="340"/>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223"/>
      <c r="C48" s="223"/>
      <c r="D48" s="224"/>
      <c r="E48" s="322"/>
      <c r="F48" s="323"/>
      <c r="G48" s="323"/>
      <c r="H48" s="323"/>
      <c r="I48" s="340"/>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223"/>
      <c r="C49" s="223"/>
      <c r="D49" s="224"/>
      <c r="E49" s="324"/>
      <c r="F49" s="325"/>
      <c r="G49" s="325"/>
      <c r="H49" s="325"/>
      <c r="I49" s="340"/>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223"/>
      <c r="C50" s="223"/>
      <c r="D50" s="224"/>
      <c r="E50" s="324"/>
      <c r="F50" s="325"/>
      <c r="G50" s="325"/>
      <c r="H50" s="325"/>
      <c r="I50" s="340"/>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223"/>
      <c r="C51" s="223"/>
      <c r="D51" s="224"/>
      <c r="E51" s="324"/>
      <c r="F51" s="325"/>
      <c r="G51" s="325"/>
      <c r="H51" s="325"/>
      <c r="I51" s="340"/>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223"/>
      <c r="C52" s="223"/>
      <c r="D52" s="224"/>
      <c r="E52" s="324"/>
      <c r="F52" s="325"/>
      <c r="G52" s="325"/>
      <c r="H52" s="325"/>
      <c r="I52" s="340"/>
      <c r="J52" s="77" t="str">
        <f>IF(AND('Mapa final'!$Y$16="Muy Baja",'Mapa final'!$AA$16="Leve"),CONCATENATE("R7C",'Mapa final'!$O$16),"")</f>
        <v/>
      </c>
      <c r="K52" s="78" t="e">
        <f>IF(AND('Mapa final'!#REF!="Muy Baja",'Mapa final'!#REF!="Leve"),CONCATENATE("R7C",'Mapa final'!#REF!),"")</f>
        <v>#REF!</v>
      </c>
      <c r="L52" s="78" t="e">
        <f>IF(AND('Mapa final'!#REF!="Muy Baja",'Mapa final'!#REF!="Leve"),CONCATENATE("R7C",'Mapa final'!#REF!),"")</f>
        <v>#REF!</v>
      </c>
      <c r="M52" s="78" t="e">
        <f>IF(AND('Mapa final'!#REF!="Muy Baja",'Mapa final'!#REF!="Leve"),CONCATENATE("R7C",'Mapa final'!#REF!),"")</f>
        <v>#REF!</v>
      </c>
      <c r="N52" s="78" t="e">
        <f>IF(AND('Mapa final'!#REF!="Muy Baja",'Mapa final'!#REF!="Leve"),CONCATENATE("R7C",'Mapa final'!#REF!),"")</f>
        <v>#REF!</v>
      </c>
      <c r="O52" s="79" t="e">
        <f>IF(AND('Mapa final'!#REF!="Muy Baja",'Mapa final'!#REF!="Leve"),CONCATENATE("R7C",'Mapa final'!#REF!),"")</f>
        <v>#REF!</v>
      </c>
      <c r="P52" s="77" t="str">
        <f>IF(AND('Mapa final'!$Y$16="Muy Baja",'Mapa final'!$AA$16="Menor"),CONCATENATE("R7C",'Mapa final'!$O$16),"")</f>
        <v/>
      </c>
      <c r="Q52" s="78" t="e">
        <f>IF(AND('Mapa final'!#REF!="Muy Baja",'Mapa final'!#REF!="Menor"),CONCATENATE("R7C",'Mapa final'!#REF!),"")</f>
        <v>#REF!</v>
      </c>
      <c r="R52" s="78" t="e">
        <f>IF(AND('Mapa final'!#REF!="Muy Baja",'Mapa final'!#REF!="Menor"),CONCATENATE("R7C",'Mapa final'!#REF!),"")</f>
        <v>#REF!</v>
      </c>
      <c r="S52" s="78" t="e">
        <f>IF(AND('Mapa final'!#REF!="Muy Baja",'Mapa final'!#REF!="Menor"),CONCATENATE("R7C",'Mapa final'!#REF!),"")</f>
        <v>#REF!</v>
      </c>
      <c r="T52" s="78" t="e">
        <f>IF(AND('Mapa final'!#REF!="Muy Baja",'Mapa final'!#REF!="Menor"),CONCATENATE("R7C",'Mapa final'!#REF!),"")</f>
        <v>#REF!</v>
      </c>
      <c r="U52" s="79" t="e">
        <f>IF(AND('Mapa final'!#REF!="Muy Baja",'Mapa final'!#REF!="Menor"),CONCATENATE("R7C",'Mapa final'!#REF!),"")</f>
        <v>#REF!</v>
      </c>
      <c r="V52" s="68" t="str">
        <f>IF(AND('Mapa final'!$Y$16="Muy Baja",'Mapa final'!$AA$16="Moderado"),CONCATENATE("R7C",'Mapa final'!$O$16),"")</f>
        <v/>
      </c>
      <c r="W52" s="69" t="e">
        <f>IF(AND('Mapa final'!#REF!="Muy Baja",'Mapa final'!#REF!="Moderado"),CONCATENATE("R7C",'Mapa final'!#REF!),"")</f>
        <v>#REF!</v>
      </c>
      <c r="X52" s="69" t="e">
        <f>IF(AND('Mapa final'!#REF!="Muy Baja",'Mapa final'!#REF!="Moderado"),CONCATENATE("R7C",'Mapa final'!#REF!),"")</f>
        <v>#REF!</v>
      </c>
      <c r="Y52" s="69" t="e">
        <f>IF(AND('Mapa final'!#REF!="Muy Baja",'Mapa final'!#REF!="Moderado"),CONCATENATE("R7C",'Mapa final'!#REF!),"")</f>
        <v>#REF!</v>
      </c>
      <c r="Z52" s="69" t="e">
        <f>IF(AND('Mapa final'!#REF!="Muy Baja",'Mapa final'!#REF!="Moderado"),CONCATENATE("R7C",'Mapa final'!#REF!),"")</f>
        <v>#REF!</v>
      </c>
      <c r="AA52" s="70" t="e">
        <f>IF(AND('Mapa final'!#REF!="Muy Baja",'Mapa final'!#REF!="Moderado"),CONCATENATE("R7C",'Mapa final'!#REF!),"")</f>
        <v>#REF!</v>
      </c>
      <c r="AB52" s="52" t="str">
        <f>IF(AND('Mapa final'!$Y$16="Muy Baja",'Mapa final'!$AA$16="Mayor"),CONCATENATE("R7C",'Mapa final'!$O$16),"")</f>
        <v/>
      </c>
      <c r="AC52" s="53" t="e">
        <f>IF(AND('Mapa final'!#REF!="Muy Baja",'Mapa final'!#REF!="Mayor"),CONCATENATE("R7C",'Mapa final'!#REF!),"")</f>
        <v>#REF!</v>
      </c>
      <c r="AD52" s="58" t="e">
        <f>IF(AND('Mapa final'!#REF!="Muy Baja",'Mapa final'!#REF!="Mayor"),CONCATENATE("R7C",'Mapa final'!#REF!),"")</f>
        <v>#REF!</v>
      </c>
      <c r="AE52" s="58" t="e">
        <f>IF(AND('Mapa final'!#REF!="Muy Baja",'Mapa final'!#REF!="Mayor"),CONCATENATE("R7C",'Mapa final'!#REF!),"")</f>
        <v>#REF!</v>
      </c>
      <c r="AF52" s="58" t="e">
        <f>IF(AND('Mapa final'!#REF!="Muy Baja",'Mapa final'!#REF!="Mayor"),CONCATENATE("R7C",'Mapa final'!#REF!),"")</f>
        <v>#REF!</v>
      </c>
      <c r="AG52" s="54" t="e">
        <f>IF(AND('Mapa final'!#REF!="Muy Baja",'Mapa final'!#REF!="Mayor"),CONCATENATE("R7C",'Mapa final'!#REF!),"")</f>
        <v>#REF!</v>
      </c>
      <c r="AH52" s="55" t="str">
        <f>IF(AND('Mapa final'!$Y$16="Muy Baja",'Mapa final'!$AA$16="Catastrófico"),CONCATENATE("R7C",'Mapa final'!$O$16),"")</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223"/>
      <c r="C53" s="223"/>
      <c r="D53" s="224"/>
      <c r="E53" s="324"/>
      <c r="F53" s="325"/>
      <c r="G53" s="325"/>
      <c r="H53" s="325"/>
      <c r="I53" s="340"/>
      <c r="J53" s="77" t="e">
        <f>IF(AND('Mapa final'!#REF!="Muy Baja",'Mapa final'!#REF!="Leve"),CONCATENATE("R8C",'Mapa final'!#REF!),"")</f>
        <v>#REF!</v>
      </c>
      <c r="K53" s="78" t="e">
        <f>IF(AND('Mapa final'!#REF!="Muy Baja",'Mapa final'!#REF!="Leve"),CONCATENATE("R8C",'Mapa final'!#REF!),"")</f>
        <v>#REF!</v>
      </c>
      <c r="L53" s="78" t="e">
        <f>IF(AND('Mapa final'!#REF!="Muy Baja",'Mapa final'!#REF!="Leve"),CONCATENATE("R8C",'Mapa final'!#REF!),"")</f>
        <v>#REF!</v>
      </c>
      <c r="M53" s="78" t="e">
        <f>IF(AND('Mapa final'!#REF!="Muy Baja",'Mapa final'!#REF!="Leve"),CONCATENATE("R8C",'Mapa final'!#REF!),"")</f>
        <v>#REF!</v>
      </c>
      <c r="N53" s="78" t="e">
        <f>IF(AND('Mapa final'!#REF!="Muy Baja",'Mapa final'!#REF!="Leve"),CONCATENATE("R8C",'Mapa final'!#REF!),"")</f>
        <v>#REF!</v>
      </c>
      <c r="O53" s="79" t="e">
        <f>IF(AND('Mapa final'!#REF!="Muy Baja",'Mapa final'!#REF!="Leve"),CONCATENATE("R8C",'Mapa final'!#REF!),"")</f>
        <v>#REF!</v>
      </c>
      <c r="P53" s="77" t="e">
        <f>IF(AND('Mapa final'!#REF!="Muy Baja",'Mapa final'!#REF!="Menor"),CONCATENATE("R8C",'Mapa final'!#REF!),"")</f>
        <v>#REF!</v>
      </c>
      <c r="Q53" s="78" t="e">
        <f>IF(AND('Mapa final'!#REF!="Muy Baja",'Mapa final'!#REF!="Menor"),CONCATENATE("R8C",'Mapa final'!#REF!),"")</f>
        <v>#REF!</v>
      </c>
      <c r="R53" s="78" t="e">
        <f>IF(AND('Mapa final'!#REF!="Muy Baja",'Mapa final'!#REF!="Menor"),CONCATENATE("R8C",'Mapa final'!#REF!),"")</f>
        <v>#REF!</v>
      </c>
      <c r="S53" s="78" t="e">
        <f>IF(AND('Mapa final'!#REF!="Muy Baja",'Mapa final'!#REF!="Menor"),CONCATENATE("R8C",'Mapa final'!#REF!),"")</f>
        <v>#REF!</v>
      </c>
      <c r="T53" s="78" t="e">
        <f>IF(AND('Mapa final'!#REF!="Muy Baja",'Mapa final'!#REF!="Menor"),CONCATENATE("R8C",'Mapa final'!#REF!),"")</f>
        <v>#REF!</v>
      </c>
      <c r="U53" s="79" t="e">
        <f>IF(AND('Mapa final'!#REF!="Muy Baja",'Mapa final'!#REF!="Menor"),CONCATENATE("R8C",'Mapa final'!#REF!),"")</f>
        <v>#REF!</v>
      </c>
      <c r="V53" s="68" t="e">
        <f>IF(AND('Mapa final'!#REF!="Muy Baja",'Mapa final'!#REF!="Moderado"),CONCATENATE("R8C",'Mapa final'!#REF!),"")</f>
        <v>#REF!</v>
      </c>
      <c r="W53" s="69" t="e">
        <f>IF(AND('Mapa final'!#REF!="Muy Baja",'Mapa final'!#REF!="Moderado"),CONCATENATE("R8C",'Mapa final'!#REF!),"")</f>
        <v>#REF!</v>
      </c>
      <c r="X53" s="69" t="e">
        <f>IF(AND('Mapa final'!#REF!="Muy Baja",'Mapa final'!#REF!="Moderado"),CONCATENATE("R8C",'Mapa final'!#REF!),"")</f>
        <v>#REF!</v>
      </c>
      <c r="Y53" s="69" t="e">
        <f>IF(AND('Mapa final'!#REF!="Muy Baja",'Mapa final'!#REF!="Moderado"),CONCATENATE("R8C",'Mapa final'!#REF!),"")</f>
        <v>#REF!</v>
      </c>
      <c r="Z53" s="69" t="e">
        <f>IF(AND('Mapa final'!#REF!="Muy Baja",'Mapa final'!#REF!="Moderado"),CONCATENATE("R8C",'Mapa final'!#REF!),"")</f>
        <v>#REF!</v>
      </c>
      <c r="AA53" s="70" t="e">
        <f>IF(AND('Mapa final'!#REF!="Muy Baja",'Mapa final'!#REF!="Moderado"),CONCATENATE("R8C",'Mapa final'!#REF!),"")</f>
        <v>#REF!</v>
      </c>
      <c r="AB53" s="52" t="e">
        <f>IF(AND('Mapa final'!#REF!="Muy Baja",'Mapa final'!#REF!="Mayor"),CONCATENATE("R8C",'Mapa final'!#REF!),"")</f>
        <v>#REF!</v>
      </c>
      <c r="AC53" s="53" t="e">
        <f>IF(AND('Mapa final'!#REF!="Muy Baja",'Mapa final'!#REF!="Mayor"),CONCATENATE("R8C",'Mapa final'!#REF!),"")</f>
        <v>#REF!</v>
      </c>
      <c r="AD53" s="58" t="e">
        <f>IF(AND('Mapa final'!#REF!="Muy Baja",'Mapa final'!#REF!="Mayor"),CONCATENATE("R8C",'Mapa final'!#REF!),"")</f>
        <v>#REF!</v>
      </c>
      <c r="AE53" s="58" t="e">
        <f>IF(AND('Mapa final'!#REF!="Muy Baja",'Mapa final'!#REF!="Mayor"),CONCATENATE("R8C",'Mapa final'!#REF!),"")</f>
        <v>#REF!</v>
      </c>
      <c r="AF53" s="58" t="e">
        <f>IF(AND('Mapa final'!#REF!="Muy Baja",'Mapa final'!#REF!="Mayor"),CONCATENATE("R8C",'Mapa final'!#REF!),"")</f>
        <v>#REF!</v>
      </c>
      <c r="AG53" s="54" t="e">
        <f>IF(AND('Mapa final'!#REF!="Muy Baja",'Mapa final'!#REF!="Mayor"),CONCATENATE("R8C",'Mapa final'!#REF!),"")</f>
        <v>#REF!</v>
      </c>
      <c r="AH53" s="55" t="e">
        <f>IF(AND('Mapa final'!#REF!="Muy Baja",'Mapa final'!#REF!="Catastrófico"),CONCATENATE("R8C",'Mapa final'!#REF!),"")</f>
        <v>#REF!</v>
      </c>
      <c r="AI53" s="56" t="e">
        <f>IF(AND('Mapa final'!#REF!="Muy Baja",'Mapa final'!#REF!="Catastrófico"),CONCATENATE("R8C",'Mapa final'!#REF!),"")</f>
        <v>#REF!</v>
      </c>
      <c r="AJ53" s="56" t="e">
        <f>IF(AND('Mapa final'!#REF!="Muy Baja",'Mapa final'!#REF!="Catastrófico"),CONCATENATE("R8C",'Mapa final'!#REF!),"")</f>
        <v>#REF!</v>
      </c>
      <c r="AK53" s="56" t="e">
        <f>IF(AND('Mapa final'!#REF!="Muy Baja",'Mapa final'!#REF!="Catastrófico"),CONCATENATE("R8C",'Mapa final'!#REF!),"")</f>
        <v>#REF!</v>
      </c>
      <c r="AL53" s="56" t="e">
        <f>IF(AND('Mapa final'!#REF!="Muy Baja",'Mapa final'!#REF!="Catastrófico"),CONCATENATE("R8C",'Mapa final'!#REF!),"")</f>
        <v>#REF!</v>
      </c>
      <c r="AM53" s="57" t="e">
        <f>IF(AND('Mapa final'!#REF!="Muy Baja",'Mapa final'!#REF!="Catastrófico"),CONCATENATE("R8C",'Mapa final'!#REF!),"")</f>
        <v>#REF!</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223"/>
      <c r="C54" s="223"/>
      <c r="D54" s="224"/>
      <c r="E54" s="324"/>
      <c r="F54" s="325"/>
      <c r="G54" s="325"/>
      <c r="H54" s="325"/>
      <c r="I54" s="340"/>
      <c r="J54" s="77" t="e">
        <f>IF(AND('Mapa final'!#REF!="Muy Baja",'Mapa final'!#REF!="Leve"),CONCATENATE("R9C",'Mapa final'!#REF!),"")</f>
        <v>#REF!</v>
      </c>
      <c r="K54" s="78" t="e">
        <f>IF(AND('Mapa final'!#REF!="Muy Baja",'Mapa final'!#REF!="Leve"),CONCATENATE("R9C",'Mapa final'!#REF!),"")</f>
        <v>#REF!</v>
      </c>
      <c r="L54" s="78" t="e">
        <f>IF(AND('Mapa final'!#REF!="Muy Baja",'Mapa final'!#REF!="Leve"),CONCATENATE("R9C",'Mapa final'!#REF!),"")</f>
        <v>#REF!</v>
      </c>
      <c r="M54" s="78" t="e">
        <f>IF(AND('Mapa final'!#REF!="Muy Baja",'Mapa final'!#REF!="Leve"),CONCATENATE("R9C",'Mapa final'!#REF!),"")</f>
        <v>#REF!</v>
      </c>
      <c r="N54" s="78" t="e">
        <f>IF(AND('Mapa final'!#REF!="Muy Baja",'Mapa final'!#REF!="Leve"),CONCATENATE("R9C",'Mapa final'!#REF!),"")</f>
        <v>#REF!</v>
      </c>
      <c r="O54" s="79" t="e">
        <f>IF(AND('Mapa final'!#REF!="Muy Baja",'Mapa final'!#REF!="Leve"),CONCATENATE("R9C",'Mapa final'!#REF!),"")</f>
        <v>#REF!</v>
      </c>
      <c r="P54" s="77" t="e">
        <f>IF(AND('Mapa final'!#REF!="Muy Baja",'Mapa final'!#REF!="Menor"),CONCATENATE("R9C",'Mapa final'!#REF!),"")</f>
        <v>#REF!</v>
      </c>
      <c r="Q54" s="78" t="e">
        <f>IF(AND('Mapa final'!#REF!="Muy Baja",'Mapa final'!#REF!="Menor"),CONCATENATE("R9C",'Mapa final'!#REF!),"")</f>
        <v>#REF!</v>
      </c>
      <c r="R54" s="78" t="e">
        <f>IF(AND('Mapa final'!#REF!="Muy Baja",'Mapa final'!#REF!="Menor"),CONCATENATE("R9C",'Mapa final'!#REF!),"")</f>
        <v>#REF!</v>
      </c>
      <c r="S54" s="78" t="e">
        <f>IF(AND('Mapa final'!#REF!="Muy Baja",'Mapa final'!#REF!="Menor"),CONCATENATE("R9C",'Mapa final'!#REF!),"")</f>
        <v>#REF!</v>
      </c>
      <c r="T54" s="78" t="e">
        <f>IF(AND('Mapa final'!#REF!="Muy Baja",'Mapa final'!#REF!="Menor"),CONCATENATE("R9C",'Mapa final'!#REF!),"")</f>
        <v>#REF!</v>
      </c>
      <c r="U54" s="79" t="e">
        <f>IF(AND('Mapa final'!#REF!="Muy Baja",'Mapa final'!#REF!="Menor"),CONCATENATE("R9C",'Mapa final'!#REF!),"")</f>
        <v>#REF!</v>
      </c>
      <c r="V54" s="68" t="e">
        <f>IF(AND('Mapa final'!#REF!="Muy Baja",'Mapa final'!#REF!="Moderado"),CONCATENATE("R9C",'Mapa final'!#REF!),"")</f>
        <v>#REF!</v>
      </c>
      <c r="W54" s="69" t="e">
        <f>IF(AND('Mapa final'!#REF!="Muy Baja",'Mapa final'!#REF!="Moderado"),CONCATENATE("R9C",'Mapa final'!#REF!),"")</f>
        <v>#REF!</v>
      </c>
      <c r="X54" s="69" t="e">
        <f>IF(AND('Mapa final'!#REF!="Muy Baja",'Mapa final'!#REF!="Moderado"),CONCATENATE("R9C",'Mapa final'!#REF!),"")</f>
        <v>#REF!</v>
      </c>
      <c r="Y54" s="69" t="e">
        <f>IF(AND('Mapa final'!#REF!="Muy Baja",'Mapa final'!#REF!="Moderado"),CONCATENATE("R9C",'Mapa final'!#REF!),"")</f>
        <v>#REF!</v>
      </c>
      <c r="Z54" s="69" t="e">
        <f>IF(AND('Mapa final'!#REF!="Muy Baja",'Mapa final'!#REF!="Moderado"),CONCATENATE("R9C",'Mapa final'!#REF!),"")</f>
        <v>#REF!</v>
      </c>
      <c r="AA54" s="70" t="e">
        <f>IF(AND('Mapa final'!#REF!="Muy Baja",'Mapa final'!#REF!="Moderado"),CONCATENATE("R9C",'Mapa final'!#REF!),"")</f>
        <v>#REF!</v>
      </c>
      <c r="AB54" s="52" t="e">
        <f>IF(AND('Mapa final'!#REF!="Muy Baja",'Mapa final'!#REF!="Mayor"),CONCATENATE("R9C",'Mapa final'!#REF!),"")</f>
        <v>#REF!</v>
      </c>
      <c r="AC54" s="53" t="e">
        <f>IF(AND('Mapa final'!#REF!="Muy Baja",'Mapa final'!#REF!="Mayor"),CONCATENATE("R9C",'Mapa final'!#REF!),"")</f>
        <v>#REF!</v>
      </c>
      <c r="AD54" s="58" t="e">
        <f>IF(AND('Mapa final'!#REF!="Muy Baja",'Mapa final'!#REF!="Mayor"),CONCATENATE("R9C",'Mapa final'!#REF!),"")</f>
        <v>#REF!</v>
      </c>
      <c r="AE54" s="58" t="e">
        <f>IF(AND('Mapa final'!#REF!="Muy Baja",'Mapa final'!#REF!="Mayor"),CONCATENATE("R9C",'Mapa final'!#REF!),"")</f>
        <v>#REF!</v>
      </c>
      <c r="AF54" s="58" t="e">
        <f>IF(AND('Mapa final'!#REF!="Muy Baja",'Mapa final'!#REF!="Mayor"),CONCATENATE("R9C",'Mapa final'!#REF!),"")</f>
        <v>#REF!</v>
      </c>
      <c r="AG54" s="54" t="e">
        <f>IF(AND('Mapa final'!#REF!="Muy Baja",'Mapa final'!#REF!="Mayor"),CONCATENATE("R9C",'Mapa final'!#REF!),"")</f>
        <v>#REF!</v>
      </c>
      <c r="AH54" s="55" t="e">
        <f>IF(AND('Mapa final'!#REF!="Muy Baja",'Mapa final'!#REF!="Catastrófico"),CONCATENATE("R9C",'Mapa final'!#REF!),"")</f>
        <v>#REF!</v>
      </c>
      <c r="AI54" s="56" t="e">
        <f>IF(AND('Mapa final'!#REF!="Muy Baja",'Mapa final'!#REF!="Catastrófico"),CONCATENATE("R9C",'Mapa final'!#REF!),"")</f>
        <v>#REF!</v>
      </c>
      <c r="AJ54" s="56" t="e">
        <f>IF(AND('Mapa final'!#REF!="Muy Baja",'Mapa final'!#REF!="Catastrófico"),CONCATENATE("R9C",'Mapa final'!#REF!),"")</f>
        <v>#REF!</v>
      </c>
      <c r="AK54" s="56" t="e">
        <f>IF(AND('Mapa final'!#REF!="Muy Baja",'Mapa final'!#REF!="Catastrófico"),CONCATENATE("R9C",'Mapa final'!#REF!),"")</f>
        <v>#REF!</v>
      </c>
      <c r="AL54" s="56" t="e">
        <f>IF(AND('Mapa final'!#REF!="Muy Baja",'Mapa final'!#REF!="Catastrófico"),CONCATENATE("R9C",'Mapa final'!#REF!),"")</f>
        <v>#REF!</v>
      </c>
      <c r="AM54" s="57" t="e">
        <f>IF(AND('Mapa final'!#REF!="Muy Baja",'Mapa final'!#REF!="Catastrófico"),CONCATENATE("R9C",'Mapa final'!#REF!),"")</f>
        <v>#REF!</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223"/>
      <c r="C55" s="223"/>
      <c r="D55" s="224"/>
      <c r="E55" s="326"/>
      <c r="F55" s="327"/>
      <c r="G55" s="327"/>
      <c r="H55" s="327"/>
      <c r="I55" s="341"/>
      <c r="J55" s="80" t="e">
        <f>IF(AND('Mapa final'!#REF!="Muy Baja",'Mapa final'!#REF!="Leve"),CONCATENATE("R10C",'Mapa final'!#REF!),"")</f>
        <v>#REF!</v>
      </c>
      <c r="K55" s="81" t="e">
        <f>IF(AND('Mapa final'!#REF!="Muy Baja",'Mapa final'!#REF!="Leve"),CONCATENATE("R10C",'Mapa final'!#REF!),"")</f>
        <v>#REF!</v>
      </c>
      <c r="L55" s="81" t="e">
        <f>IF(AND('Mapa final'!#REF!="Muy Baja",'Mapa final'!#REF!="Leve"),CONCATENATE("R10C",'Mapa final'!#REF!),"")</f>
        <v>#REF!</v>
      </c>
      <c r="M55" s="81" t="e">
        <f>IF(AND('Mapa final'!#REF!="Muy Baja",'Mapa final'!#REF!="Leve"),CONCATENATE("R10C",'Mapa final'!#REF!),"")</f>
        <v>#REF!</v>
      </c>
      <c r="N55" s="81" t="e">
        <f>IF(AND('Mapa final'!#REF!="Muy Baja",'Mapa final'!#REF!="Leve"),CONCATENATE("R10C",'Mapa final'!#REF!),"")</f>
        <v>#REF!</v>
      </c>
      <c r="O55" s="82" t="e">
        <f>IF(AND('Mapa final'!#REF!="Muy Baja",'Mapa final'!#REF!="Leve"),CONCATENATE("R10C",'Mapa final'!#REF!),"")</f>
        <v>#REF!</v>
      </c>
      <c r="P55" s="80" t="e">
        <f>IF(AND('Mapa final'!#REF!="Muy Baja",'Mapa final'!#REF!="Menor"),CONCATENATE("R10C",'Mapa final'!#REF!),"")</f>
        <v>#REF!</v>
      </c>
      <c r="Q55" s="81" t="e">
        <f>IF(AND('Mapa final'!#REF!="Muy Baja",'Mapa final'!#REF!="Menor"),CONCATENATE("R10C",'Mapa final'!#REF!),"")</f>
        <v>#REF!</v>
      </c>
      <c r="R55" s="81" t="e">
        <f>IF(AND('Mapa final'!#REF!="Muy Baja",'Mapa final'!#REF!="Menor"),CONCATENATE("R10C",'Mapa final'!#REF!),"")</f>
        <v>#REF!</v>
      </c>
      <c r="S55" s="81" t="e">
        <f>IF(AND('Mapa final'!#REF!="Muy Baja",'Mapa final'!#REF!="Menor"),CONCATENATE("R10C",'Mapa final'!#REF!),"")</f>
        <v>#REF!</v>
      </c>
      <c r="T55" s="81" t="e">
        <f>IF(AND('Mapa final'!#REF!="Muy Baja",'Mapa final'!#REF!="Menor"),CONCATENATE("R10C",'Mapa final'!#REF!),"")</f>
        <v>#REF!</v>
      </c>
      <c r="U55" s="82" t="e">
        <f>IF(AND('Mapa final'!#REF!="Muy Baja",'Mapa final'!#REF!="Menor"),CONCATENATE("R10C",'Mapa final'!#REF!),"")</f>
        <v>#REF!</v>
      </c>
      <c r="V55" s="71" t="e">
        <f>IF(AND('Mapa final'!#REF!="Muy Baja",'Mapa final'!#REF!="Moderado"),CONCATENATE("R10C",'Mapa final'!#REF!),"")</f>
        <v>#REF!</v>
      </c>
      <c r="W55" s="72" t="e">
        <f>IF(AND('Mapa final'!#REF!="Muy Baja",'Mapa final'!#REF!="Moderado"),CONCATENATE("R10C",'Mapa final'!#REF!),"")</f>
        <v>#REF!</v>
      </c>
      <c r="X55" s="72" t="e">
        <f>IF(AND('Mapa final'!#REF!="Muy Baja",'Mapa final'!#REF!="Moderado"),CONCATENATE("R10C",'Mapa final'!#REF!),"")</f>
        <v>#REF!</v>
      </c>
      <c r="Y55" s="72" t="e">
        <f>IF(AND('Mapa final'!#REF!="Muy Baja",'Mapa final'!#REF!="Moderado"),CONCATENATE("R10C",'Mapa final'!#REF!),"")</f>
        <v>#REF!</v>
      </c>
      <c r="Z55" s="72" t="e">
        <f>IF(AND('Mapa final'!#REF!="Muy Baja",'Mapa final'!#REF!="Moderado"),CONCATENATE("R10C",'Mapa final'!#REF!),"")</f>
        <v>#REF!</v>
      </c>
      <c r="AA55" s="73" t="e">
        <f>IF(AND('Mapa final'!#REF!="Muy Baja",'Mapa final'!#REF!="Moderado"),CONCATENATE("R10C",'Mapa final'!#REF!),"")</f>
        <v>#REF!</v>
      </c>
      <c r="AB55" s="59" t="e">
        <f>IF(AND('Mapa final'!#REF!="Muy Baja",'Mapa final'!#REF!="Mayor"),CONCATENATE("R10C",'Mapa final'!#REF!),"")</f>
        <v>#REF!</v>
      </c>
      <c r="AC55" s="60" t="e">
        <f>IF(AND('Mapa final'!#REF!="Muy Baja",'Mapa final'!#REF!="Mayor"),CONCATENATE("R10C",'Mapa final'!#REF!),"")</f>
        <v>#REF!</v>
      </c>
      <c r="AD55" s="60" t="e">
        <f>IF(AND('Mapa final'!#REF!="Muy Baja",'Mapa final'!#REF!="Mayor"),CONCATENATE("R10C",'Mapa final'!#REF!),"")</f>
        <v>#REF!</v>
      </c>
      <c r="AE55" s="60" t="e">
        <f>IF(AND('Mapa final'!#REF!="Muy Baja",'Mapa final'!#REF!="Mayor"),CONCATENATE("R10C",'Mapa final'!#REF!),"")</f>
        <v>#REF!</v>
      </c>
      <c r="AF55" s="60" t="e">
        <f>IF(AND('Mapa final'!#REF!="Muy Baja",'Mapa final'!#REF!="Mayor"),CONCATENATE("R10C",'Mapa final'!#REF!),"")</f>
        <v>#REF!</v>
      </c>
      <c r="AG55" s="61" t="e">
        <f>IF(AND('Mapa final'!#REF!="Muy Baja",'Mapa final'!#REF!="Mayor"),CONCATENATE("R10C",'Mapa final'!#REF!),"")</f>
        <v>#REF!</v>
      </c>
      <c r="AH55" s="62" t="e">
        <f>IF(AND('Mapa final'!#REF!="Muy Baja",'Mapa final'!#REF!="Catastrófico"),CONCATENATE("R10C",'Mapa final'!#REF!),"")</f>
        <v>#REF!</v>
      </c>
      <c r="AI55" s="63" t="e">
        <f>IF(AND('Mapa final'!#REF!="Muy Baja",'Mapa final'!#REF!="Catastrófico"),CONCATENATE("R10C",'Mapa final'!#REF!),"")</f>
        <v>#REF!</v>
      </c>
      <c r="AJ55" s="63" t="e">
        <f>IF(AND('Mapa final'!#REF!="Muy Baja",'Mapa final'!#REF!="Catastrófico"),CONCATENATE("R10C",'Mapa final'!#REF!),"")</f>
        <v>#REF!</v>
      </c>
      <c r="AK55" s="63" t="e">
        <f>IF(AND('Mapa final'!#REF!="Muy Baja",'Mapa final'!#REF!="Catastrófico"),CONCATENATE("R10C",'Mapa final'!#REF!),"")</f>
        <v>#REF!</v>
      </c>
      <c r="AL55" s="63" t="e">
        <f>IF(AND('Mapa final'!#REF!="Muy Baja",'Mapa final'!#REF!="Catastrófico"),CONCATENATE("R10C",'Mapa final'!#REF!),"")</f>
        <v>#REF!</v>
      </c>
      <c r="AM55" s="64" t="e">
        <f>IF(AND('Mapa final'!#REF!="Muy Baja",'Mapa final'!#REF!="Catastrófico"),CONCATENATE("R10C",'Mapa final'!#REF!),"")</f>
        <v>#REF!</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20" t="s">
        <v>112</v>
      </c>
      <c r="K56" s="321"/>
      <c r="L56" s="321"/>
      <c r="M56" s="321"/>
      <c r="N56" s="321"/>
      <c r="O56" s="339"/>
      <c r="P56" s="320" t="s">
        <v>111</v>
      </c>
      <c r="Q56" s="321"/>
      <c r="R56" s="321"/>
      <c r="S56" s="321"/>
      <c r="T56" s="321"/>
      <c r="U56" s="339"/>
      <c r="V56" s="320" t="s">
        <v>110</v>
      </c>
      <c r="W56" s="321"/>
      <c r="X56" s="321"/>
      <c r="Y56" s="321"/>
      <c r="Z56" s="321"/>
      <c r="AA56" s="339"/>
      <c r="AB56" s="320" t="s">
        <v>109</v>
      </c>
      <c r="AC56" s="360"/>
      <c r="AD56" s="321"/>
      <c r="AE56" s="321"/>
      <c r="AF56" s="321"/>
      <c r="AG56" s="339"/>
      <c r="AH56" s="320" t="s">
        <v>108</v>
      </c>
      <c r="AI56" s="321"/>
      <c r="AJ56" s="321"/>
      <c r="AK56" s="321"/>
      <c r="AL56" s="321"/>
      <c r="AM56" s="339"/>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24"/>
      <c r="K57" s="325"/>
      <c r="L57" s="325"/>
      <c r="M57" s="325"/>
      <c r="N57" s="325"/>
      <c r="O57" s="340"/>
      <c r="P57" s="324"/>
      <c r="Q57" s="325"/>
      <c r="R57" s="325"/>
      <c r="S57" s="325"/>
      <c r="T57" s="325"/>
      <c r="U57" s="340"/>
      <c r="V57" s="324"/>
      <c r="W57" s="325"/>
      <c r="X57" s="325"/>
      <c r="Y57" s="325"/>
      <c r="Z57" s="325"/>
      <c r="AA57" s="340"/>
      <c r="AB57" s="324"/>
      <c r="AC57" s="325"/>
      <c r="AD57" s="325"/>
      <c r="AE57" s="325"/>
      <c r="AF57" s="325"/>
      <c r="AG57" s="340"/>
      <c r="AH57" s="324"/>
      <c r="AI57" s="325"/>
      <c r="AJ57" s="325"/>
      <c r="AK57" s="325"/>
      <c r="AL57" s="325"/>
      <c r="AM57" s="340"/>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24"/>
      <c r="K58" s="325"/>
      <c r="L58" s="325"/>
      <c r="M58" s="325"/>
      <c r="N58" s="325"/>
      <c r="O58" s="340"/>
      <c r="P58" s="324"/>
      <c r="Q58" s="325"/>
      <c r="R58" s="325"/>
      <c r="S58" s="325"/>
      <c r="T58" s="325"/>
      <c r="U58" s="340"/>
      <c r="V58" s="324"/>
      <c r="W58" s="325"/>
      <c r="X58" s="325"/>
      <c r="Y58" s="325"/>
      <c r="Z58" s="325"/>
      <c r="AA58" s="340"/>
      <c r="AB58" s="324"/>
      <c r="AC58" s="325"/>
      <c r="AD58" s="325"/>
      <c r="AE58" s="325"/>
      <c r="AF58" s="325"/>
      <c r="AG58" s="340"/>
      <c r="AH58" s="324"/>
      <c r="AI58" s="325"/>
      <c r="AJ58" s="325"/>
      <c r="AK58" s="325"/>
      <c r="AL58" s="325"/>
      <c r="AM58" s="340"/>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24"/>
      <c r="K59" s="325"/>
      <c r="L59" s="325"/>
      <c r="M59" s="325"/>
      <c r="N59" s="325"/>
      <c r="O59" s="340"/>
      <c r="P59" s="324"/>
      <c r="Q59" s="325"/>
      <c r="R59" s="325"/>
      <c r="S59" s="325"/>
      <c r="T59" s="325"/>
      <c r="U59" s="340"/>
      <c r="V59" s="324"/>
      <c r="W59" s="325"/>
      <c r="X59" s="325"/>
      <c r="Y59" s="325"/>
      <c r="Z59" s="325"/>
      <c r="AA59" s="340"/>
      <c r="AB59" s="324"/>
      <c r="AC59" s="325"/>
      <c r="AD59" s="325"/>
      <c r="AE59" s="325"/>
      <c r="AF59" s="325"/>
      <c r="AG59" s="340"/>
      <c r="AH59" s="324"/>
      <c r="AI59" s="325"/>
      <c r="AJ59" s="325"/>
      <c r="AK59" s="325"/>
      <c r="AL59" s="325"/>
      <c r="AM59" s="340"/>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24"/>
      <c r="K60" s="325"/>
      <c r="L60" s="325"/>
      <c r="M60" s="325"/>
      <c r="N60" s="325"/>
      <c r="O60" s="340"/>
      <c r="P60" s="324"/>
      <c r="Q60" s="325"/>
      <c r="R60" s="325"/>
      <c r="S60" s="325"/>
      <c r="T60" s="325"/>
      <c r="U60" s="340"/>
      <c r="V60" s="324"/>
      <c r="W60" s="325"/>
      <c r="X60" s="325"/>
      <c r="Y60" s="325"/>
      <c r="Z60" s="325"/>
      <c r="AA60" s="340"/>
      <c r="AB60" s="324"/>
      <c r="AC60" s="325"/>
      <c r="AD60" s="325"/>
      <c r="AE60" s="325"/>
      <c r="AF60" s="325"/>
      <c r="AG60" s="340"/>
      <c r="AH60" s="324"/>
      <c r="AI60" s="325"/>
      <c r="AJ60" s="325"/>
      <c r="AK60" s="325"/>
      <c r="AL60" s="325"/>
      <c r="AM60" s="340"/>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26"/>
      <c r="K61" s="327"/>
      <c r="L61" s="327"/>
      <c r="M61" s="327"/>
      <c r="N61" s="327"/>
      <c r="O61" s="341"/>
      <c r="P61" s="326"/>
      <c r="Q61" s="327"/>
      <c r="R61" s="327"/>
      <c r="S61" s="327"/>
      <c r="T61" s="327"/>
      <c r="U61" s="341"/>
      <c r="V61" s="326"/>
      <c r="W61" s="327"/>
      <c r="X61" s="327"/>
      <c r="Y61" s="327"/>
      <c r="Z61" s="327"/>
      <c r="AA61" s="341"/>
      <c r="AB61" s="326"/>
      <c r="AC61" s="327"/>
      <c r="AD61" s="327"/>
      <c r="AE61" s="327"/>
      <c r="AF61" s="327"/>
      <c r="AG61" s="341"/>
      <c r="AH61" s="326"/>
      <c r="AI61" s="327"/>
      <c r="AJ61" s="327"/>
      <c r="AK61" s="327"/>
      <c r="AL61" s="327"/>
      <c r="AM61" s="341"/>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61" t="s">
        <v>55</v>
      </c>
      <c r="C1" s="361"/>
      <c r="D1" s="361"/>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62" t="s">
        <v>63</v>
      </c>
      <c r="C1" s="362"/>
      <c r="D1" s="362"/>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157</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145</v>
      </c>
      <c r="D11" s="104" t="s">
        <v>152</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149</v>
      </c>
      <c r="D12" s="104" t="s">
        <v>153</v>
      </c>
      <c r="E12" s="84"/>
      <c r="F12" s="84"/>
      <c r="G12" s="84"/>
      <c r="H12" s="84"/>
      <c r="I12" s="84"/>
      <c r="J12" s="84"/>
      <c r="K12" s="84"/>
      <c r="L12" s="84"/>
      <c r="M12" s="84"/>
      <c r="N12" s="84"/>
      <c r="O12" s="84"/>
      <c r="P12" s="84"/>
      <c r="Q12" s="84"/>
      <c r="R12" s="84"/>
      <c r="S12" s="84"/>
      <c r="T12" s="84"/>
      <c r="U12" s="84"/>
    </row>
    <row r="13" spans="1:21" x14ac:dyDescent="0.4">
      <c r="A13" s="104"/>
      <c r="B13" s="104"/>
      <c r="C13" s="104" t="s">
        <v>148</v>
      </c>
      <c r="D13" s="104" t="s">
        <v>154</v>
      </c>
      <c r="E13" s="84"/>
      <c r="F13" s="84"/>
      <c r="G13" s="84"/>
      <c r="H13" s="84"/>
      <c r="I13" s="84"/>
      <c r="J13" s="84"/>
      <c r="K13" s="84"/>
      <c r="L13" s="84"/>
      <c r="M13" s="84"/>
      <c r="N13" s="84"/>
      <c r="O13" s="84"/>
      <c r="P13" s="84"/>
      <c r="Q13" s="84"/>
      <c r="R13" s="84"/>
      <c r="S13" s="84"/>
      <c r="T13" s="84"/>
      <c r="U13" s="84"/>
    </row>
    <row r="14" spans="1:21" x14ac:dyDescent="0.4">
      <c r="A14" s="104"/>
      <c r="B14" s="104"/>
      <c r="C14" s="104" t="s">
        <v>150</v>
      </c>
      <c r="D14" s="104" t="s">
        <v>155</v>
      </c>
      <c r="E14" s="84"/>
      <c r="F14" s="84"/>
      <c r="G14" s="84"/>
      <c r="H14" s="84"/>
      <c r="I14" s="84"/>
      <c r="J14" s="84"/>
      <c r="K14" s="84"/>
      <c r="L14" s="84"/>
      <c r="M14" s="84"/>
      <c r="N14" s="84"/>
      <c r="O14" s="84"/>
      <c r="P14" s="84"/>
      <c r="Q14" s="84"/>
      <c r="R14" s="84"/>
      <c r="S14" s="84"/>
      <c r="T14" s="84"/>
      <c r="U14" s="84"/>
    </row>
    <row r="15" spans="1:21" x14ac:dyDescent="0.4">
      <c r="A15" s="104"/>
      <c r="B15" s="104"/>
      <c r="C15" s="104" t="s">
        <v>151</v>
      </c>
      <c r="D15" s="104" t="s">
        <v>156</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144</v>
      </c>
      <c r="D209" s="33" t="s">
        <v>88</v>
      </c>
      <c r="E209" s="33" t="s">
        <v>144</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146</v>
      </c>
    </row>
    <row r="224" spans="1:8" x14ac:dyDescent="0.4">
      <c r="B224" s="22"/>
      <c r="C224" s="22"/>
      <c r="F224" s="35" t="s">
        <v>147</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63" t="s">
        <v>78</v>
      </c>
      <c r="C1" s="364"/>
      <c r="D1" s="364"/>
      <c r="E1" s="364"/>
      <c r="F1" s="365"/>
    </row>
    <row r="2" spans="2:6" ht="16.3" thickBot="1" x14ac:dyDescent="0.5">
      <c r="B2" s="90"/>
      <c r="C2" s="90"/>
      <c r="D2" s="90"/>
      <c r="E2" s="90"/>
      <c r="F2" s="90"/>
    </row>
    <row r="3" spans="2:6" ht="15.9" thickBot="1" x14ac:dyDescent="0.4">
      <c r="B3" s="367" t="s">
        <v>64</v>
      </c>
      <c r="C3" s="368"/>
      <c r="D3" s="368"/>
      <c r="E3" s="102" t="s">
        <v>65</v>
      </c>
      <c r="F3" s="103" t="s">
        <v>66</v>
      </c>
    </row>
    <row r="4" spans="2:6" ht="30.9" x14ac:dyDescent="0.35">
      <c r="B4" s="369" t="s">
        <v>67</v>
      </c>
      <c r="C4" s="371" t="s">
        <v>13</v>
      </c>
      <c r="D4" s="91" t="s">
        <v>14</v>
      </c>
      <c r="E4" s="92" t="s">
        <v>68</v>
      </c>
      <c r="F4" s="93">
        <v>0.25</v>
      </c>
    </row>
    <row r="5" spans="2:6" ht="46.3" x14ac:dyDescent="0.35">
      <c r="B5" s="370"/>
      <c r="C5" s="372"/>
      <c r="D5" s="94" t="s">
        <v>15</v>
      </c>
      <c r="E5" s="95" t="s">
        <v>69</v>
      </c>
      <c r="F5" s="96">
        <v>0.15</v>
      </c>
    </row>
    <row r="6" spans="2:6" ht="46.3" x14ac:dyDescent="0.35">
      <c r="B6" s="370"/>
      <c r="C6" s="372"/>
      <c r="D6" s="94" t="s">
        <v>16</v>
      </c>
      <c r="E6" s="95" t="s">
        <v>70</v>
      </c>
      <c r="F6" s="96">
        <v>0.1</v>
      </c>
    </row>
    <row r="7" spans="2:6" ht="61.75" x14ac:dyDescent="0.35">
      <c r="B7" s="370"/>
      <c r="C7" s="372" t="s">
        <v>17</v>
      </c>
      <c r="D7" s="94" t="s">
        <v>10</v>
      </c>
      <c r="E7" s="95" t="s">
        <v>71</v>
      </c>
      <c r="F7" s="96">
        <v>0.25</v>
      </c>
    </row>
    <row r="8" spans="2:6" ht="30.9" x14ac:dyDescent="0.35">
      <c r="B8" s="370"/>
      <c r="C8" s="372"/>
      <c r="D8" s="94" t="s">
        <v>9</v>
      </c>
      <c r="E8" s="95" t="s">
        <v>72</v>
      </c>
      <c r="F8" s="96">
        <v>0.15</v>
      </c>
    </row>
    <row r="9" spans="2:6" ht="46.3" x14ac:dyDescent="0.35">
      <c r="B9" s="370" t="s">
        <v>161</v>
      </c>
      <c r="C9" s="372" t="s">
        <v>18</v>
      </c>
      <c r="D9" s="94" t="s">
        <v>19</v>
      </c>
      <c r="E9" s="95" t="s">
        <v>73</v>
      </c>
      <c r="F9" s="97" t="s">
        <v>74</v>
      </c>
    </row>
    <row r="10" spans="2:6" ht="46.3" x14ac:dyDescent="0.35">
      <c r="B10" s="370"/>
      <c r="C10" s="372"/>
      <c r="D10" s="94" t="s">
        <v>20</v>
      </c>
      <c r="E10" s="95" t="s">
        <v>75</v>
      </c>
      <c r="F10" s="97" t="s">
        <v>74</v>
      </c>
    </row>
    <row r="11" spans="2:6" ht="30.9" x14ac:dyDescent="0.35">
      <c r="B11" s="370"/>
      <c r="C11" s="372" t="s">
        <v>21</v>
      </c>
      <c r="D11" s="94" t="s">
        <v>22</v>
      </c>
      <c r="E11" s="95" t="s">
        <v>76</v>
      </c>
      <c r="F11" s="97" t="s">
        <v>74</v>
      </c>
    </row>
    <row r="12" spans="2:6" ht="46.3" x14ac:dyDescent="0.35">
      <c r="B12" s="370"/>
      <c r="C12" s="372"/>
      <c r="D12" s="94" t="s">
        <v>23</v>
      </c>
      <c r="E12" s="95" t="s">
        <v>77</v>
      </c>
      <c r="F12" s="97" t="s">
        <v>74</v>
      </c>
    </row>
    <row r="13" spans="2:6" ht="30.9" x14ac:dyDescent="0.35">
      <c r="B13" s="370"/>
      <c r="C13" s="372" t="s">
        <v>24</v>
      </c>
      <c r="D13" s="94" t="s">
        <v>119</v>
      </c>
      <c r="E13" s="95" t="s">
        <v>122</v>
      </c>
      <c r="F13" s="97" t="s">
        <v>74</v>
      </c>
    </row>
    <row r="14" spans="2:6" ht="15.9" thickBot="1" x14ac:dyDescent="0.4">
      <c r="B14" s="373"/>
      <c r="C14" s="374"/>
      <c r="D14" s="98" t="s">
        <v>120</v>
      </c>
      <c r="E14" s="99" t="s">
        <v>121</v>
      </c>
      <c r="F14" s="100" t="s">
        <v>74</v>
      </c>
    </row>
    <row r="15" spans="2:6" ht="49.5" customHeight="1" x14ac:dyDescent="0.35">
      <c r="B15" s="366" t="s">
        <v>158</v>
      </c>
      <c r="C15" s="366"/>
      <c r="D15" s="366"/>
      <c r="E15" s="366"/>
      <c r="F15" s="366"/>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2023-09-27T16:13:47Z</dcterms:modified>
</cp:coreProperties>
</file>