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hidePivotFieldList="1" defaultThemeVersion="124226"/>
  <mc:AlternateContent xmlns:mc="http://schemas.openxmlformats.org/markup-compatibility/2006">
    <mc:Choice Requires="x15">
      <x15ac:absPath xmlns:x15ac="http://schemas.microsoft.com/office/spreadsheetml/2010/11/ac" url="D:\Desktop\EQUIPO MIPG 2025\mapa de riegos 2025\"/>
    </mc:Choice>
  </mc:AlternateContent>
  <xr:revisionPtr revIDLastSave="0" documentId="13_ncr:1_{D3A4ECED-FA33-4B2B-898C-6D56F74066ED}" xr6:coauthVersionLast="47" xr6:coauthVersionMax="47" xr10:uidLastSave="{00000000-0000-0000-0000-000000000000}"/>
  <bookViews>
    <workbookView xWindow="-120" yWindow="-120" windowWidth="29040" windowHeight="15840" tabRatio="882"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91029"/>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T13" i="1" l="1"/>
  <c r="Q12" i="1"/>
  <c r="Q13" i="1"/>
  <c r="I10" i="1" l="1"/>
  <c r="T10" i="1" l="1"/>
  <c r="Q10" i="1"/>
  <c r="K35" i="1"/>
  <c r="K21" i="1"/>
  <c r="K38" i="1"/>
  <c r="K18" i="1"/>
  <c r="K16" i="1"/>
  <c r="K30" i="1"/>
  <c r="K39" i="1"/>
  <c r="K11" i="1"/>
  <c r="K32" i="1"/>
  <c r="K36" i="1"/>
  <c r="K28" i="1"/>
  <c r="K24" i="1"/>
  <c r="K42" i="1"/>
  <c r="K20" i="1"/>
  <c r="K14" i="1"/>
  <c r="K26" i="1"/>
  <c r="K22" i="1"/>
  <c r="K29" i="1"/>
  <c r="K40" i="1"/>
  <c r="K17" i="1"/>
  <c r="K33" i="1"/>
  <c r="K15" i="1"/>
  <c r="K34" i="1"/>
  <c r="K27" i="1"/>
  <c r="K23" i="1"/>
  <c r="K41" i="1"/>
  <c r="F221" i="13" l="1"/>
  <c r="F211" i="13"/>
  <c r="F212" i="13"/>
  <c r="F213" i="13"/>
  <c r="F214" i="13"/>
  <c r="F215" i="13"/>
  <c r="F216" i="13"/>
  <c r="F217" i="13"/>
  <c r="F218" i="13"/>
  <c r="F219" i="13"/>
  <c r="F220" i="13"/>
  <c r="F210" i="13"/>
  <c r="B221" i="13" a="1"/>
  <c r="B221" i="13" l="1"/>
  <c r="Q25"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42" i="1" l="1"/>
  <c r="Q42" i="1"/>
  <c r="T41" i="1"/>
  <c r="Q41" i="1"/>
  <c r="T40" i="1"/>
  <c r="Q40" i="1"/>
  <c r="T39" i="1"/>
  <c r="Q39" i="1"/>
  <c r="T38" i="1"/>
  <c r="Q38" i="1"/>
  <c r="T37" i="1"/>
  <c r="Q37" i="1"/>
  <c r="AB38" i="1" s="1"/>
  <c r="H37" i="1"/>
  <c r="I37" i="1" s="1"/>
  <c r="T36" i="1"/>
  <c r="Q36" i="1"/>
  <c r="T35" i="1"/>
  <c r="Q35" i="1"/>
  <c r="T34" i="1"/>
  <c r="Q34" i="1"/>
  <c r="T33" i="1"/>
  <c r="Q33" i="1"/>
  <c r="T32" i="1"/>
  <c r="Q32" i="1"/>
  <c r="T31" i="1"/>
  <c r="Q31" i="1"/>
  <c r="H31" i="1"/>
  <c r="I31" i="1" s="1"/>
  <c r="T30" i="1"/>
  <c r="Q30" i="1"/>
  <c r="T29" i="1"/>
  <c r="Q29" i="1"/>
  <c r="T28" i="1"/>
  <c r="Q28" i="1"/>
  <c r="T27" i="1"/>
  <c r="Q27" i="1"/>
  <c r="T26" i="1"/>
  <c r="Q26" i="1"/>
  <c r="AB26" i="1" s="1"/>
  <c r="T25" i="1"/>
  <c r="H25" i="1"/>
  <c r="I25" i="1" s="1"/>
  <c r="T19" i="1"/>
  <c r="Q19" i="1"/>
  <c r="H19" i="1"/>
  <c r="I19" i="1" s="1"/>
  <c r="I13" i="1"/>
  <c r="T12" i="1"/>
  <c r="I12" i="1"/>
  <c r="T11" i="1"/>
  <c r="Q11" i="1"/>
  <c r="AB11" i="1" s="1"/>
  <c r="AB32" i="1" l="1"/>
  <c r="X37" i="1"/>
  <c r="X31" i="1"/>
  <c r="X25" i="1"/>
  <c r="X19" i="1"/>
  <c r="X23" i="1"/>
  <c r="X24" i="1"/>
  <c r="X13" i="1"/>
  <c r="X12" i="1"/>
  <c r="Y37" i="1" l="1"/>
  <c r="Z37" i="1"/>
  <c r="X38" i="1" s="1"/>
  <c r="Y38" i="1" s="1"/>
  <c r="Y31" i="1"/>
  <c r="Z31" i="1"/>
  <c r="X32" i="1" s="1"/>
  <c r="Z32" i="1" s="1"/>
  <c r="X33" i="1" s="1"/>
  <c r="Y25" i="1"/>
  <c r="Z25" i="1"/>
  <c r="X26" i="1" s="1"/>
  <c r="Z26" i="1" s="1"/>
  <c r="X27" i="1" s="1"/>
  <c r="Y19" i="1"/>
  <c r="Z19" i="1"/>
  <c r="Y13" i="1"/>
  <c r="Z13" i="1"/>
  <c r="X14" i="1" s="1"/>
  <c r="X15" i="1" s="1"/>
  <c r="Y12" i="1"/>
  <c r="Z12" i="1"/>
  <c r="X11" i="1"/>
  <c r="Y32" i="1" l="1"/>
  <c r="Y26" i="1"/>
  <c r="Z11" i="1"/>
  <c r="Z33" i="1"/>
  <c r="X34" i="1" s="1"/>
  <c r="Y33" i="1"/>
  <c r="Z27" i="1"/>
  <c r="X28" i="1" s="1"/>
  <c r="Y27" i="1"/>
  <c r="Z38" i="1"/>
  <c r="X39" i="1" s="1"/>
  <c r="X20" i="1"/>
  <c r="X21"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Y34" i="1" l="1"/>
  <c r="Z34" i="1"/>
  <c r="Y28" i="1"/>
  <c r="Z28" i="1"/>
  <c r="X29" i="1" s="1"/>
  <c r="X22" i="1"/>
  <c r="Y39" i="1"/>
  <c r="Z39" i="1"/>
  <c r="X40" i="1" s="1"/>
  <c r="X16" i="1"/>
  <c r="Y29" i="1" l="1"/>
  <c r="Z29" i="1"/>
  <c r="X30" i="1" s="1"/>
  <c r="X35" i="1"/>
  <c r="X36" i="1"/>
  <c r="X17" i="1"/>
  <c r="Z40" i="1"/>
  <c r="Y40" i="1"/>
  <c r="Y36" i="1" l="1"/>
  <c r="Z36" i="1"/>
  <c r="Y35" i="1"/>
  <c r="Z35" i="1"/>
  <c r="Y30" i="1"/>
  <c r="Z30" i="1"/>
  <c r="X41" i="1"/>
  <c r="X42" i="1"/>
  <c r="X18" i="1"/>
  <c r="X10" i="1"/>
  <c r="Y10" i="1" s="1"/>
  <c r="Y42" i="1" l="1"/>
  <c r="Z42" i="1"/>
  <c r="Y41" i="1"/>
  <c r="Z41" i="1"/>
  <c r="Z10" i="1" l="1"/>
  <c r="AB39" i="1" l="1"/>
  <c r="AB31" i="1"/>
  <c r="AB25" i="1"/>
  <c r="AA25" i="1" s="1"/>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AC25"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31" i="1"/>
  <c r="AA38"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39" i="1"/>
  <c r="AB40" i="1"/>
  <c r="AA26" i="1"/>
  <c r="AB27" i="1"/>
  <c r="AA32" i="1"/>
  <c r="AB33" i="1"/>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AA40" i="1"/>
  <c r="AB41" i="1"/>
  <c r="K35" i="19"/>
  <c r="AC25" i="19"/>
  <c r="K45" i="19"/>
  <c r="AI45" i="19"/>
  <c r="W45" i="19"/>
  <c r="Q35" i="19"/>
  <c r="K55" i="19"/>
  <c r="AC15" i="19"/>
  <c r="Q15" i="19"/>
  <c r="AC35" i="19"/>
  <c r="AI35" i="19"/>
  <c r="Q55" i="19"/>
  <c r="AI25" i="19"/>
  <c r="AC38"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32"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AC39"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31"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AA27" i="1"/>
  <c r="AB28" i="1"/>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A33" i="1"/>
  <c r="AB34"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C26" i="1"/>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A28" i="1"/>
  <c r="AB29" i="1"/>
  <c r="AA41" i="1"/>
  <c r="AB42" i="1"/>
  <c r="AA42" i="1" s="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AC27" i="1"/>
  <c r="X23" i="19"/>
  <c r="R33" i="19"/>
  <c r="R43" i="19"/>
  <c r="AD53" i="19"/>
  <c r="AJ13" i="19"/>
  <c r="R23" i="19"/>
  <c r="R13" i="19"/>
  <c r="AJ53" i="19"/>
  <c r="L33" i="19"/>
  <c r="L23" i="19"/>
  <c r="X43" i="19"/>
  <c r="X53" i="19"/>
  <c r="AD13" i="19"/>
  <c r="L53" i="19"/>
  <c r="L13" i="19"/>
  <c r="AD23" i="19"/>
  <c r="AJ33" i="19"/>
  <c r="AJ23" i="19"/>
  <c r="R53" i="19"/>
  <c r="M55" i="19"/>
  <c r="AK15" i="19"/>
  <c r="AE25" i="19"/>
  <c r="AC40"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A34" i="1"/>
  <c r="AB35" i="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AC33" i="1"/>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34" i="1"/>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C42" i="1"/>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41"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A29" i="1"/>
  <c r="AB30" i="1"/>
  <c r="AA30"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A35" i="1"/>
  <c r="AB36" i="1"/>
  <c r="AA36" i="1" s="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28"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36" i="1"/>
  <c r="AA14" i="19"/>
  <c r="O54" i="19"/>
  <c r="U44" i="19"/>
  <c r="U43" i="19"/>
  <c r="U13" i="19"/>
  <c r="AM53" i="19"/>
  <c r="AA53" i="19"/>
  <c r="AA43" i="19"/>
  <c r="O53" i="19"/>
  <c r="O23" i="19"/>
  <c r="O13" i="19"/>
  <c r="AG43" i="19"/>
  <c r="U33" i="19"/>
  <c r="U23" i="19"/>
  <c r="AM13" i="19"/>
  <c r="AM23" i="19"/>
  <c r="AG13" i="19"/>
  <c r="AA23" i="19"/>
  <c r="AG33" i="19"/>
  <c r="AA33" i="19"/>
  <c r="AM33" i="19"/>
  <c r="AA13" i="19"/>
  <c r="AC30"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35" i="1"/>
  <c r="AF53" i="19"/>
  <c r="T43" i="19"/>
  <c r="Z53" i="19"/>
  <c r="N43" i="19"/>
  <c r="T23" i="19"/>
  <c r="AF43" i="19"/>
  <c r="Z13" i="19"/>
  <c r="Z43" i="19"/>
  <c r="AF23" i="19"/>
  <c r="AL13" i="19"/>
  <c r="Z23" i="19"/>
  <c r="AL43" i="19"/>
  <c r="AF13" i="19"/>
  <c r="AL23" i="19"/>
  <c r="N13" i="19"/>
  <c r="T33" i="19"/>
  <c r="AL53" i="19"/>
  <c r="N23" i="19"/>
  <c r="N53" i="19"/>
  <c r="AF33" i="19"/>
  <c r="N33" i="19"/>
  <c r="AC29"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X6" i="18" l="1"/>
  <c r="AJ30" i="18"/>
  <c r="R22" i="18"/>
  <c r="L6" i="18"/>
  <c r="R30" i="18"/>
  <c r="X22" i="18"/>
  <c r="X38" i="18"/>
  <c r="AD38" i="18"/>
  <c r="AD22" i="18"/>
  <c r="X14" i="18"/>
  <c r="L30" i="18"/>
  <c r="R38" i="18"/>
  <c r="AJ14" i="18"/>
  <c r="R14" i="18"/>
  <c r="AD6" i="18"/>
  <c r="AD30" i="18"/>
  <c r="AJ38" i="18"/>
  <c r="AJ22" i="18"/>
  <c r="X30" i="18"/>
  <c r="L14" i="18"/>
  <c r="L22" i="18"/>
  <c r="AJ6" i="18"/>
  <c r="L38" i="18"/>
  <c r="AD14" i="18"/>
  <c r="R6" i="18"/>
  <c r="T14" i="18"/>
  <c r="AL38" i="18"/>
  <c r="N14" i="18"/>
  <c r="Z6" i="18"/>
  <c r="T38" i="18"/>
  <c r="T22" i="18"/>
  <c r="AL14" i="18"/>
  <c r="N22" i="18"/>
  <c r="AF22" i="18"/>
  <c r="N6" i="18"/>
  <c r="AF6" i="18"/>
  <c r="AF38" i="18"/>
  <c r="N38" i="18"/>
  <c r="AL30" i="18"/>
  <c r="AL22" i="18"/>
  <c r="T6" i="18"/>
  <c r="AF14" i="18"/>
  <c r="AF30" i="18"/>
  <c r="Z22" i="18"/>
  <c r="T30" i="18"/>
  <c r="Z30" i="18"/>
  <c r="AL6" i="18"/>
  <c r="Z14" i="18"/>
  <c r="Z38" i="18"/>
  <c r="N30" i="18"/>
  <c r="J40" i="18"/>
  <c r="AB40" i="18"/>
  <c r="AH32" i="18"/>
  <c r="AB24" i="18"/>
  <c r="V16" i="18"/>
  <c r="M12" i="1"/>
  <c r="AB12" i="1" s="1"/>
  <c r="AA12" i="1" s="1"/>
  <c r="J16" i="18"/>
  <c r="P32" i="18"/>
  <c r="V24" i="18"/>
  <c r="P24" i="18"/>
  <c r="V40" i="18"/>
  <c r="P16" i="18"/>
  <c r="P40" i="18"/>
  <c r="V32" i="18"/>
  <c r="AH16" i="18"/>
  <c r="AB16" i="18"/>
  <c r="V8" i="18"/>
  <c r="AH24" i="18"/>
  <c r="AH8" i="18"/>
  <c r="AH40" i="18"/>
  <c r="J8" i="18"/>
  <c r="AB32" i="18"/>
  <c r="AB8" i="18"/>
  <c r="J24" i="18"/>
  <c r="J32" i="18"/>
  <c r="P8" i="18"/>
  <c r="N12" i="1"/>
  <c r="P14" i="18"/>
  <c r="V22" i="18"/>
  <c r="V14" i="18"/>
  <c r="P22" i="18"/>
  <c r="V38" i="18"/>
  <c r="AH14" i="18"/>
  <c r="AH38" i="18"/>
  <c r="J14" i="18"/>
  <c r="AB22" i="18"/>
  <c r="V30" i="18"/>
  <c r="AB14" i="18"/>
  <c r="AB38" i="18"/>
  <c r="J30" i="18"/>
  <c r="P38" i="18"/>
  <c r="AB6" i="18"/>
  <c r="M10" i="1"/>
  <c r="AB10" i="1" s="1"/>
  <c r="AA10" i="1" s="1"/>
  <c r="AH30" i="18"/>
  <c r="J38" i="18"/>
  <c r="AH6" i="18"/>
  <c r="V6" i="18"/>
  <c r="AB30" i="18"/>
  <c r="J22" i="18"/>
  <c r="J6" i="18"/>
  <c r="P30" i="18"/>
  <c r="AH22" i="18"/>
  <c r="P6" i="18"/>
  <c r="AC12" i="1" l="1"/>
  <c r="P49" i="19"/>
  <c r="J39" i="19"/>
  <c r="J49" i="19"/>
  <c r="AB39" i="19"/>
  <c r="P19" i="19"/>
  <c r="V49" i="19"/>
  <c r="AB49" i="19"/>
  <c r="AH49" i="19"/>
  <c r="P39" i="19"/>
  <c r="AH39" i="19"/>
  <c r="P9" i="19"/>
  <c r="V19" i="19"/>
  <c r="AB9" i="19"/>
  <c r="AH19" i="19"/>
  <c r="V39" i="19"/>
  <c r="AH29" i="19"/>
  <c r="V9" i="19"/>
  <c r="AB19" i="19"/>
  <c r="AH9" i="19"/>
  <c r="J9" i="19"/>
  <c r="J29" i="19"/>
  <c r="J19" i="19"/>
  <c r="V29" i="19"/>
  <c r="P29" i="19"/>
  <c r="AB29" i="19"/>
  <c r="V27" i="19"/>
  <c r="P47" i="19"/>
  <c r="J17" i="19"/>
  <c r="J37" i="19"/>
  <c r="AB37" i="19"/>
  <c r="V7" i="19"/>
  <c r="P27" i="19"/>
  <c r="P17" i="19"/>
  <c r="AH47" i="19"/>
  <c r="AB17" i="19"/>
  <c r="V37" i="19"/>
  <c r="P7" i="19"/>
  <c r="AB47" i="19"/>
  <c r="J47" i="19"/>
  <c r="AH7" i="19"/>
  <c r="AB27" i="19"/>
  <c r="V47" i="19"/>
  <c r="J27" i="19"/>
  <c r="AH37" i="19"/>
  <c r="AB7" i="19"/>
  <c r="V17" i="19"/>
  <c r="P37" i="19"/>
  <c r="J7" i="19"/>
  <c r="AH17" i="19"/>
  <c r="AH27" i="19"/>
  <c r="P16" i="19"/>
  <c r="P6" i="19"/>
  <c r="AH6" i="19"/>
  <c r="V46" i="19"/>
  <c r="AH46" i="19"/>
  <c r="AB46" i="19"/>
  <c r="J6" i="19"/>
  <c r="P46" i="19"/>
  <c r="AB26" i="19"/>
  <c r="AB16" i="19"/>
  <c r="AH26" i="19"/>
  <c r="J16" i="19"/>
  <c r="V26" i="19"/>
  <c r="AH36" i="19"/>
  <c r="P26" i="19"/>
  <c r="V16" i="19"/>
  <c r="V36" i="19"/>
  <c r="AC10" i="1"/>
  <c r="AH16" i="19"/>
  <c r="V6" i="19"/>
  <c r="AB36" i="19"/>
  <c r="AB6" i="19"/>
  <c r="P36" i="19"/>
  <c r="J36" i="19"/>
  <c r="J26" i="19"/>
  <c r="J46" i="19"/>
  <c r="K13" i="1" l="1"/>
  <c r="K10" i="1"/>
  <c r="K12" i="1"/>
  <c r="K25" i="1"/>
  <c r="L25" i="1" s="1"/>
  <c r="K19" i="1"/>
  <c r="L19" i="1" s="1"/>
  <c r="K37" i="1"/>
  <c r="L37" i="1" s="1"/>
  <c r="K31" i="1"/>
  <c r="L31" i="1" s="1"/>
  <c r="Z42" i="18" l="1"/>
  <c r="N10" i="18"/>
  <c r="T18" i="18"/>
  <c r="AF18" i="18"/>
  <c r="AF34" i="18"/>
  <c r="Z26" i="18"/>
  <c r="AF42" i="18"/>
  <c r="AL34" i="18"/>
  <c r="AL18" i="18"/>
  <c r="N42" i="18"/>
  <c r="M31" i="1"/>
  <c r="Z18" i="18"/>
  <c r="Z34" i="18"/>
  <c r="AL10" i="18"/>
  <c r="T10" i="18"/>
  <c r="AL42" i="18"/>
  <c r="AL26" i="18"/>
  <c r="N31" i="1"/>
  <c r="AF26" i="18"/>
  <c r="Z10" i="18"/>
  <c r="N34" i="18"/>
  <c r="N18" i="18"/>
  <c r="T42" i="18"/>
  <c r="T26" i="18"/>
  <c r="N26" i="18"/>
  <c r="AF10" i="18"/>
  <c r="T34" i="18"/>
  <c r="J36" i="18"/>
  <c r="P36" i="18"/>
  <c r="AH28" i="18"/>
  <c r="AB12" i="18"/>
  <c r="AB36" i="18"/>
  <c r="AB44" i="18"/>
  <c r="J12" i="18"/>
  <c r="V44" i="18"/>
  <c r="J28" i="18"/>
  <c r="AH20" i="18"/>
  <c r="P12" i="18"/>
  <c r="M37" i="1"/>
  <c r="AB37" i="1" s="1"/>
  <c r="AA37" i="1" s="1"/>
  <c r="AH12" i="18"/>
  <c r="AH36" i="18"/>
  <c r="J20" i="18"/>
  <c r="V12" i="18"/>
  <c r="AH44" i="18"/>
  <c r="J44" i="18"/>
  <c r="V28" i="18"/>
  <c r="P20" i="18"/>
  <c r="AB28" i="18"/>
  <c r="V36" i="18"/>
  <c r="P28" i="18"/>
  <c r="AB20" i="18"/>
  <c r="N37" i="1"/>
  <c r="P44" i="18"/>
  <c r="V20" i="18"/>
  <c r="R8" i="18"/>
  <c r="X32" i="18"/>
  <c r="L24" i="18"/>
  <c r="AD24" i="18"/>
  <c r="AJ40" i="18"/>
  <c r="R32" i="18"/>
  <c r="AJ32" i="18"/>
  <c r="R16" i="18"/>
  <c r="AD8" i="18"/>
  <c r="AD40" i="18"/>
  <c r="AJ24" i="18"/>
  <c r="X40" i="18"/>
  <c r="AD32" i="18"/>
  <c r="AD16" i="18"/>
  <c r="L32" i="18"/>
  <c r="X8" i="18"/>
  <c r="X24" i="18"/>
  <c r="AJ8" i="18"/>
  <c r="L16" i="18"/>
  <c r="R40" i="18"/>
  <c r="AJ16" i="18"/>
  <c r="R24" i="18"/>
  <c r="L40" i="18"/>
  <c r="L8" i="18"/>
  <c r="X16" i="18"/>
  <c r="AH42" i="18"/>
  <c r="V18" i="18"/>
  <c r="AB26" i="18"/>
  <c r="AH26" i="18"/>
  <c r="V26" i="18"/>
  <c r="AB34" i="18"/>
  <c r="AH10" i="18"/>
  <c r="V42" i="18"/>
  <c r="V10" i="18"/>
  <c r="M19" i="1"/>
  <c r="AB19" i="1" s="1"/>
  <c r="AA19" i="1" s="1"/>
  <c r="AH18" i="18"/>
  <c r="J42" i="18"/>
  <c r="J34" i="18"/>
  <c r="P18" i="18"/>
  <c r="P34" i="18"/>
  <c r="J10" i="18"/>
  <c r="P42" i="18"/>
  <c r="AB18" i="18"/>
  <c r="AB10" i="18"/>
  <c r="AB42" i="18"/>
  <c r="J18" i="18"/>
  <c r="AH34" i="18"/>
  <c r="N19" i="1"/>
  <c r="P10" i="18"/>
  <c r="P26" i="18"/>
  <c r="V34" i="18"/>
  <c r="J26" i="18"/>
  <c r="M25" i="1"/>
  <c r="X42" i="18"/>
  <c r="L18" i="18"/>
  <c r="AD34" i="18"/>
  <c r="AJ26" i="18"/>
  <c r="AD10" i="18"/>
  <c r="AD18" i="18"/>
  <c r="AJ34" i="18"/>
  <c r="AD26" i="18"/>
  <c r="R34" i="18"/>
  <c r="L10" i="18"/>
  <c r="L34" i="18"/>
  <c r="L42" i="18"/>
  <c r="AJ42" i="18"/>
  <c r="L26" i="18"/>
  <c r="R10" i="18"/>
  <c r="X18" i="18"/>
  <c r="R42" i="18"/>
  <c r="X34" i="18"/>
  <c r="X26" i="18"/>
  <c r="X10" i="18"/>
  <c r="AJ18" i="18"/>
  <c r="R26" i="18"/>
  <c r="R18" i="18"/>
  <c r="N25" i="1"/>
  <c r="AJ10" i="18"/>
  <c r="AD42" i="18"/>
  <c r="AF24" i="18"/>
  <c r="N8" i="18"/>
  <c r="AF32" i="18"/>
  <c r="Z16" i="18"/>
  <c r="AL24" i="18"/>
  <c r="N24" i="18"/>
  <c r="Z32" i="18"/>
  <c r="AL40" i="18"/>
  <c r="T40" i="18"/>
  <c r="T32" i="18"/>
  <c r="M13" i="1"/>
  <c r="AB13" i="1" s="1"/>
  <c r="AA13" i="1" s="1"/>
  <c r="T16" i="18"/>
  <c r="AF40" i="18"/>
  <c r="Z24" i="18"/>
  <c r="N13" i="1"/>
  <c r="Z40" i="18"/>
  <c r="AL8" i="18"/>
  <c r="AF16" i="18"/>
  <c r="AF8" i="18"/>
  <c r="N40" i="18"/>
  <c r="AL32" i="18"/>
  <c r="T8" i="18"/>
  <c r="T24" i="18"/>
  <c r="AL16" i="18"/>
  <c r="N32" i="18"/>
  <c r="Z8" i="18"/>
  <c r="N16" i="18"/>
  <c r="P31" i="19" l="1"/>
  <c r="AH41" i="19"/>
  <c r="AB51" i="19"/>
  <c r="AH21" i="19"/>
  <c r="AH31" i="19"/>
  <c r="AH11" i="19"/>
  <c r="AB31" i="19"/>
  <c r="V21" i="19"/>
  <c r="J11" i="19"/>
  <c r="J31" i="19"/>
  <c r="P41" i="19"/>
  <c r="P21" i="19"/>
  <c r="AB11" i="19"/>
  <c r="V51" i="19"/>
  <c r="J41" i="19"/>
  <c r="AC13" i="1"/>
  <c r="AH51" i="19"/>
  <c r="V11" i="19"/>
  <c r="AB41" i="19"/>
  <c r="J21" i="19"/>
  <c r="V41" i="19"/>
  <c r="P51" i="19"/>
  <c r="J51" i="19"/>
  <c r="P11" i="19"/>
  <c r="AB21" i="19"/>
  <c r="V31" i="19"/>
  <c r="J22" i="19"/>
  <c r="AH22" i="19"/>
  <c r="V12" i="19"/>
  <c r="V22" i="19"/>
  <c r="P22" i="19"/>
  <c r="J32" i="19"/>
  <c r="J52" i="19"/>
  <c r="P12" i="19"/>
  <c r="AH32" i="19"/>
  <c r="AB42" i="19"/>
  <c r="J12" i="19"/>
  <c r="AB22" i="19"/>
  <c r="AH12" i="19"/>
  <c r="P52" i="19"/>
  <c r="J42" i="19"/>
  <c r="AH42" i="19"/>
  <c r="P32" i="19"/>
  <c r="V52" i="19"/>
  <c r="AH52" i="19"/>
  <c r="AB12" i="19"/>
  <c r="AB32" i="19"/>
  <c r="AB52" i="19"/>
  <c r="V42" i="19"/>
  <c r="P42" i="19"/>
  <c r="AC19" i="1"/>
  <c r="V32" i="19"/>
  <c r="AB45" i="19"/>
  <c r="AB25" i="19"/>
  <c r="AH35" i="19"/>
  <c r="AH55" i="19"/>
  <c r="AB15" i="19"/>
  <c r="P15" i="19"/>
  <c r="J25" i="19"/>
  <c r="AH25" i="19"/>
  <c r="J45" i="19"/>
  <c r="P25" i="19"/>
  <c r="V15" i="19"/>
  <c r="J35" i="19"/>
  <c r="V45" i="19"/>
  <c r="P55" i="19"/>
  <c r="AH45" i="19"/>
  <c r="V35" i="19"/>
  <c r="V25" i="19"/>
  <c r="P45" i="19"/>
  <c r="P35" i="19"/>
  <c r="V55" i="19"/>
  <c r="AB55" i="19"/>
  <c r="AC37" i="1"/>
  <c r="AB35" i="19"/>
  <c r="J15" i="19"/>
  <c r="AH15" i="19"/>
  <c r="J55"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<sst xmlns="http://schemas.openxmlformats.org/spreadsheetml/2006/main" count="400" uniqueCount="249">
  <si>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</si>
  <si>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</si>
  <si>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</si>
  <si>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</si>
  <si>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</si>
  <si>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</si>
  <si>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</si>
  <si>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</si>
  <si>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</si>
  <si>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</si>
  <si>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</si>
  <si>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</si>
  <si>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</si>
  <si>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</si>
  <si>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</si>
  <si>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</si>
  <si>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</si>
  <si>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</si>
  <si>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</si>
  <si>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</si>
  <si>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</si>
  <si>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</si>
  <si>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</si>
  <si>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</si>
  <si>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</si>
  <si>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</si>
  <si>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</si>
  <si>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</si>
  <si>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</si>
  <si>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</si>
  <si>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</si>
  <si>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</si>
  <si>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</si>
  <si>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</si>
  <si>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</si>
  <si>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</si>
  <si>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</si>
  <si>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</si>
  <si>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</si>
  <si>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</si>
  <si>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</si>
  <si>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</si>
  <si>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</si>
  <si>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</si>
  <si>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</si>
  <si>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</si>
  <si>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</si>
  <si>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</si>
  <si>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</si>
  <si>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</si>
  <si>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</si>
  <si>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</si>
  <si>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</si>
  <si>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</si>
  <si>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</si>
  <si>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</si>
  <si>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</si>
  <si>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</si>
  <si>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</si>
  <si>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</si>
  <si>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</si>
  <si>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</si>
  <si>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</si>
  <si>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</si>
  <si>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</si>
  <si>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</si>
  <si>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</si>
  <si>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</si>
  <si>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</si>
  <si>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</si>
  <si>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</si>
  <si>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</si>
  <si>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</si>
  <si>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</si>
  <si>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</si>
  <si>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</si>
  <si>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</si>
  <si>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</si>
  <si>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</si>
  <si>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</si>
  <si>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</si>
  <si>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</si>
  <si>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</si>
  <si>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</si>
  <si>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</si>
  <si>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</si>
  <si>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</si>
  <si>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</si>
  <si>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</si>
  <si>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</si>
  <si>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</si>
  <si>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</si>
  <si>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</si>
  <si>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</si>
  <si>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</si>
  <si>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</si>
  <si>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</si>
  <si>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</si>
  <si>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</si>
  <si>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</si>
  <si>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</si>
  <si>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</si>
  <si>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</si>
  <si>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</si>
  <si>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</si>
  <si>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</si>
  <si>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</si>
  <si>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</si>
  <si>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</si>
  <si>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</si>
  <si>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</si>
  <si>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</si>
  <si>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</si>
  <si>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</si>
  <si>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</si>
  <si>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</si>
  <si>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</si>
  <si>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</si>
  <si>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</si>
  <si>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</si>
  <si>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</si>
  <si>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</si>
  <si>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</si>
  <si>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</si>
  <si>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</si>
  <si>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</si>
  <si>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</si>
  <si>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</si>
  <si>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</si>
  <si>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</si>
  <si>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</si>
  <si>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</si>
  <si>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</si>
  <si>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</si>
  <si>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</si>
  <si>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</si>
  <si>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</si>
  <si>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</si>
  <si>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</si>
  <si>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</si>
  <si>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</si>
  <si>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</si>
  <si>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</si>
  <si>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</si>
  <si>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</si>
  <si>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</si>
  <si>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</si>
  <si>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</si>
  <si>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</si>
  <si>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</si>
  <si>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</si>
  <si>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</si>
  <si>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</si>
  <si>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</si>
  <si>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</si>
  <si>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</si>
  <si>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</si>
  <si>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</si>
  <si>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</si>
  <si>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</si>
  <si>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</si>
  <si>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</si>
  <si>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</si>
  <si>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</si>
  <si>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</si>
  <si>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</si>
  <si>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</si>
  <si>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</si>
  <si>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</si>
  <si>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</si>
  <si>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</si>
  <si>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</si>
  <si>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</si>
  <si>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</si>
  <si>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</si>
  <si>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</si>
  <si>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</si>
  <si>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</si>
  <si>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</si>
  <si>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</si>
  <si>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</si>
  <si>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</si>
  <si>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</si>
  <si>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</si>
  <si>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</si>
  <si>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</si>
  <si>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</si>
  <si>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</si>
  <si>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</si>
  <si>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</si>
  <si>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</si>
  <si>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</si>
  <si>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</si>
  <si>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</si>
  <si>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</si>
  <si>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</si>
  <si>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</si>
  <si>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</si>
  <si>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</si>
  <si>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</si>
  <si>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</si>
  <si>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</si>
  <si>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</si>
  <si>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</si>
  <si>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</si>
  <si>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</si>
  <si>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</si>
  <si>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</si>
  <si>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</si>
  <si>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</si>
  <si>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</si>
  <si>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</si>
  <si>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</si>
  <si>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</si>
  <si>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Planear, dirigir y controlar las actividades  necesarias para la gestión financiera de la EDAT S.A. E.S.P. OFICIAL, referente a los procesos de consolidación y administración de recursos, así como a la gestión presupuestal, la gestión contable y las Operaciones de Tesorería, de conformidad con el marco normativo vigente.</t>
  </si>
  <si>
    <t>Debilidades en la programación de pagos                                  DESCRIPCION                                               'En ocasiones no se cumplen las fechas previstas o los plazos para la presentación de cuentas y/o facturas, ajustes o actualización de las mismas, lo que genera demoras en el proceso.</t>
  </si>
  <si>
    <t>MENSUAL</t>
  </si>
  <si>
    <t>MODERADO</t>
  </si>
  <si>
    <t>MEDIA</t>
  </si>
  <si>
    <t>Dirección Financiera y de Tesorería</t>
  </si>
  <si>
    <t>VIGENCIA</t>
  </si>
  <si>
    <t>ALTA</t>
  </si>
  <si>
    <t>Dirección Financiera y de Tesorería - Secretaría General y Jurídica - Gerencia</t>
  </si>
  <si>
    <t>Constante actualización normativa para el desarrollo del proceso                       DESCRIPCION                                        'Las entidades a cargo de las operaciones financieras y de registro contable en Colombia, realizan permanentemente actualizaciones de la normatividad o guías para el cumplimiento de las obligaciones (DIAN, CGN, Contaduría, etc.)</t>
  </si>
  <si>
    <t>Constante actualizacion de normas, circulares, resoluciones, leyes de las entidades reguladoras de la Contabilidad Colombiana de entidades del sector publico (entes de control)</t>
  </si>
  <si>
    <t>BAJA</t>
  </si>
  <si>
    <t xml:space="preserve">Consulta de las diferentes formas de presentacion de los informes financieros (presupuestales y contables), con sus plazos de publicación´  entes de control.  </t>
  </si>
  <si>
    <t>MODERDO</t>
  </si>
  <si>
    <t>MAYOR</t>
  </si>
  <si>
    <t xml:space="preserve">1. Custodia de cheques y tokens criptográficos en un cajon de la oficina del director financiero y de tesoreria sin seguridad.
2. Custodia de peajes en un cajon sin seguridad en el puesto del contratista a cargo. </t>
  </si>
  <si>
    <t xml:space="preserve">1. Estebler un lugar con seguridad para la custodia de los titulos valores (chequeras, peajes) y tokens criptográficos de las entidades bancarias.  </t>
  </si>
  <si>
    <t>Inicia con la planeación de las actividades y culmina con el seguimiento y evaluación del proceso</t>
  </si>
  <si>
    <t>Se presentan casos especiales fuera de los plazos previstos, que se autorizan directamente por parte de la alta dirección.
En ocasiones los funcionarios que tienen a cargo las firmas de las cuentas de cobro para los contratistas pueden retrasar el desarrollo de los mismos.
Más del 90% del personal de la entidad, cuenta con vinculación por contrato de prestación de servicios y/o apoyo a la gestión.</t>
  </si>
  <si>
    <t>Adopción de circular estricta de Gerencia,en donde se establecen los plazos para la entrega de cuentas y/o facturas, así como el tiempo para su revisión y solicitudes de ajustes o mejoras, y que se le de el cumplimineto.</t>
  </si>
  <si>
    <t>Socialización de la circular con todo el equipo de contratistas y/o proveedores de las fechas de corte para pagos, los formatos a utilizar, los requisitos para el pago, de tal manera que se reduzcan las devoluciones y se optimicen los tiempos</t>
  </si>
  <si>
    <t>GESTION FINANCIERA Y ADMINISTRATIVA</t>
  </si>
  <si>
    <t xml:space="preserve">1. Actualizar el normograma de la entidad, con las actualizaciones pertinentes para la representación de la información financiera de la entidad.    </t>
  </si>
  <si>
    <t>Falta de definición de un espacio seguro para la custodia de titulos valores y tokens criptográficos de las entidades bancarias.</t>
  </si>
  <si>
    <t>Falta de custodia de los titulos valores (chequeras, Peajes), Tokens criptográficos o de autenticación de las entidades bancarias                                DESCRIPCION                                         'La dirección financiera no tiene establecido el espacio con seguridad para la respectiva custodia de los elementos de gran importancia para los procesos financieros como chequeras, peajes, tokens criptográficos de las entidades bancarias.</t>
  </si>
  <si>
    <t>Se improvisó un espacio de almacén, que al menos ayuda a la organziación y concentración de los elementos.
Se informó de la situación de las continuas fallas del servicio de suministro eléctrico a la administración del Banco, quien ha tomado medidas de protección al respecto, las cuales se han evidenciado en la disminución de los continuos cortes o fallos del sistema</t>
  </si>
  <si>
    <t>Director Financiero y de Tesorería y Secretaría General y Jurídica - Gerencia</t>
  </si>
  <si>
    <t>Las actuales instalaciones en donde está ubicada la Entidad no visualizó la necesidad de un espacio para el manejo del Almacén.
Debilidades en la infarestructura y mantenimiento eléctrico del Edificio,  cuya administración esta a cargo del Banco de la República</t>
  </si>
  <si>
    <t xml:space="preserve">Debilidades en la insfraestructura de la entidad para la salvaguarda y custtodia de los bienes muebles y suministros         DESCRIPCION                                          El espacio asignado actualmente al almacen de la entidad, no cumple con unas condiciones mínimas que garanticen la seguridad y salvaguarda de los elementos.  Adicionalmente se presentan de manera recurrente fallas en el suministro eléctrico que afectan el funcionamiento de los equipos.      </t>
  </si>
  <si>
    <t xml:space="preserve">Establecer mejor control de almacén, frente a su seguridad y frente a la permanencia de alguien que controle y facilite de manera oportuna los implementos allí custodiados. </t>
  </si>
  <si>
    <t>Inadecuada ubicación para el almacenamiento de los archivos,estantes insuficientes para la cantidad de documentos por archivar,  lo que genera grado de nivel contaminante en el aire.                   Deficientes rutinas de limpieza y desinfección de áreas.</t>
  </si>
  <si>
    <t>Presencia de agentes
contaminantes afectando la salud y la integridad de los funcionarios y el acervo documental.</t>
  </si>
  <si>
    <t xml:space="preserve">Los agentes contaminantes como los acaros, hongos y demás que afectan la integridad de los documentos y personas alrededor </t>
  </si>
  <si>
    <t xml:space="preserve">Implemetar formato para la realización de limpieza y aseo del area de archivo.                      Mejorar los espacios para la ubicación y almacenamiento de la documentación </t>
  </si>
  <si>
    <t xml:space="preserve"> abril  Diciembre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</si>
</sst>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9">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dashed">
        <color theme="9" tint="-0.24994659260841701"/>
      </left>
      <right style="dashed">
        <color theme="9" tint="-0.24994659260841701"/>
      </right>
      <top style="thin">
        <color indexed="64"/>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44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applyProtection="1"/>
    <xf numFmtId="0" fontId="50" fillId="3" borderId="52" xfId="2" applyFont="1" applyFill="1" applyBorder="1" applyProtection="1"/>
    <xf numFmtId="0" fontId="50" fillId="3" borderId="53" xfId="2" applyFont="1" applyFill="1" applyBorder="1" applyProtection="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applyProtection="1"/>
    <xf numFmtId="0" fontId="55" fillId="3" borderId="0" xfId="0" applyFont="1" applyFill="1" applyBorder="1" applyAlignment="1" applyProtection="1">
      <alignment horizontal="left" vertical="center" wrapText="1"/>
    </xf>
    <xf numFmtId="0" fontId="56" fillId="3" borderId="0" xfId="0" applyFont="1" applyFill="1" applyBorder="1" applyAlignment="1" applyProtection="1">
      <alignment horizontal="left" vertical="top" wrapText="1"/>
    </xf>
    <xf numFmtId="0" fontId="50" fillId="3" borderId="0" xfId="2" applyFont="1" applyFill="1" applyBorder="1" applyProtection="1"/>
    <xf numFmtId="0" fontId="50" fillId="3" borderId="15" xfId="2" applyFont="1" applyFill="1" applyBorder="1" applyProtection="1"/>
    <xf numFmtId="0" fontId="50" fillId="3" borderId="16" xfId="2" applyFont="1" applyFill="1" applyBorder="1" applyProtection="1"/>
    <xf numFmtId="0" fontId="50" fillId="3" borderId="18" xfId="2" applyFont="1" applyFill="1" applyBorder="1" applyProtection="1"/>
    <xf numFmtId="0" fontId="50" fillId="3" borderId="17" xfId="2" applyFont="1" applyFill="1" applyBorder="1" applyProtection="1"/>
    <xf numFmtId="0" fontId="54" fillId="3" borderId="0" xfId="2" applyFont="1" applyFill="1" applyBorder="1" applyAlignment="1" applyProtection="1">
      <alignment horizontal="left" vertical="center" wrapText="1"/>
    </xf>
    <xf numFmtId="0" fontId="50" fillId="3" borderId="0" xfId="2" applyFont="1" applyFill="1" applyBorder="1" applyAlignment="1" applyProtection="1">
      <alignment horizontal="left" vertical="center" wrapText="1"/>
    </xf>
    <xf numFmtId="0" fontId="50" fillId="3" borderId="0" xfId="2" quotePrefix="1" applyFont="1" applyFill="1" applyBorder="1" applyAlignment="1" applyProtection="1">
      <alignment horizontal="left" vertical="center" wrapText="1"/>
    </xf>
    <xf numFmtId="0" fontId="50" fillId="3" borderId="15" xfId="2" applyFont="1" applyFill="1" applyBorder="1" applyAlignment="1" applyProtection="1"/>
    <xf numFmtId="0" fontId="52" fillId="3" borderId="14" xfId="2" quotePrefix="1" applyFont="1" applyFill="1" applyBorder="1" applyAlignment="1" applyProtection="1">
      <alignment horizontal="left" vertical="top" wrapText="1"/>
    </xf>
    <xf numFmtId="0" fontId="53" fillId="3" borderId="0" xfId="2" quotePrefix="1" applyFont="1" applyFill="1" applyBorder="1" applyAlignment="1" applyProtection="1">
      <alignment horizontal="left" vertical="top" wrapText="1"/>
    </xf>
    <xf numFmtId="0" fontId="53"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9" fontId="1" fillId="0" borderId="4" xfId="0" applyNumberFormat="1" applyFont="1" applyFill="1" applyBorder="1" applyAlignment="1" applyProtection="1">
      <alignment horizontal="center" vertical="top"/>
      <protection hidden="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0" fontId="48" fillId="3" borderId="34" xfId="0" quotePrefix="1" applyFont="1" applyFill="1" applyBorder="1" applyAlignment="1">
      <alignment horizontal="center" vertical="center" wrapText="1"/>
    </xf>
    <xf numFmtId="0" fontId="48" fillId="3" borderId="34" xfId="0" applyFont="1" applyFill="1" applyBorder="1" applyAlignment="1">
      <alignment horizontal="center" vertical="center" wrapText="1"/>
    </xf>
    <xf numFmtId="0" fontId="1" fillId="0" borderId="7" xfId="0" applyFont="1" applyBorder="1" applyAlignment="1" applyProtection="1">
      <alignment horizontal="center" vertical="top"/>
    </xf>
    <xf numFmtId="0" fontId="1" fillId="0" borderId="9" xfId="0" applyFont="1" applyBorder="1" applyAlignment="1" applyProtection="1">
      <alignment horizontal="center" vertical="top" wrapText="1"/>
      <protection locked="0"/>
    </xf>
    <xf numFmtId="0" fontId="1" fillId="0" borderId="33" xfId="0" applyFont="1" applyBorder="1" applyAlignment="1" applyProtection="1">
      <alignment horizontal="center" vertical="top" wrapText="1"/>
      <protection locked="0"/>
    </xf>
    <xf numFmtId="0" fontId="2" fillId="0" borderId="33" xfId="0" applyFont="1" applyBorder="1" applyAlignment="1" applyProtection="1">
      <alignment horizontal="center" vertical="top" wrapText="1"/>
      <protection locked="0"/>
    </xf>
    <xf numFmtId="0" fontId="1" fillId="0" borderId="33" xfId="0" applyFont="1" applyBorder="1" applyAlignment="1" applyProtection="1">
      <alignment horizontal="center" vertical="top"/>
      <protection locked="0"/>
    </xf>
    <xf numFmtId="0" fontId="4" fillId="5" borderId="33" xfId="0" applyFont="1" applyFill="1" applyBorder="1" applyAlignment="1" applyProtection="1">
      <alignment horizontal="center" vertical="top" wrapText="1"/>
      <protection hidden="1"/>
    </xf>
    <xf numFmtId="9" fontId="1" fillId="0" borderId="33" xfId="0" applyNumberFormat="1" applyFont="1" applyBorder="1" applyAlignment="1" applyProtection="1">
      <alignment horizontal="center" vertical="top" wrapText="1"/>
      <protection hidden="1"/>
    </xf>
    <xf numFmtId="9" fontId="1" fillId="0" borderId="33" xfId="0" applyNumberFormat="1" applyFont="1" applyBorder="1" applyAlignment="1" applyProtection="1">
      <alignment horizontal="center" vertical="top" wrapText="1"/>
      <protection locked="0"/>
    </xf>
    <xf numFmtId="0" fontId="4" fillId="4" borderId="33" xfId="0" applyFont="1" applyFill="1" applyBorder="1" applyAlignment="1" applyProtection="1">
      <alignment horizontal="center" vertical="top" wrapText="1"/>
      <protection hidden="1"/>
    </xf>
    <xf numFmtId="0" fontId="4" fillId="4" borderId="33" xfId="0" applyFont="1" applyFill="1" applyBorder="1" applyAlignment="1" applyProtection="1">
      <alignment horizontal="center" vertical="top"/>
      <protection hidden="1"/>
    </xf>
    <xf numFmtId="0" fontId="48" fillId="3" borderId="33" xfId="0" quotePrefix="1" applyFont="1" applyFill="1" applyBorder="1" applyAlignment="1">
      <alignment horizontal="center" vertical="center" wrapText="1"/>
    </xf>
    <xf numFmtId="0" fontId="4" fillId="13" borderId="2" xfId="0" applyFont="1" applyFill="1" applyBorder="1" applyAlignment="1" applyProtection="1">
      <alignment horizontal="center" vertical="top" textRotation="90" wrapText="1"/>
      <protection hidden="1"/>
    </xf>
    <xf numFmtId="0" fontId="56" fillId="3" borderId="64" xfId="2" applyFont="1" applyFill="1" applyBorder="1" applyAlignment="1" applyProtection="1">
      <alignment horizontal="justify" vertical="center" wrapText="1"/>
    </xf>
    <xf numFmtId="0" fontId="56" fillId="3" borderId="65" xfId="2" applyFont="1" applyFill="1" applyBorder="1" applyAlignment="1" applyProtection="1">
      <alignment horizontal="justify" vertical="center" wrapText="1"/>
    </xf>
    <xf numFmtId="0" fontId="55" fillId="3" borderId="71" xfId="0" applyFont="1" applyFill="1" applyBorder="1" applyAlignment="1" applyProtection="1">
      <alignment horizontal="left" vertical="center" wrapText="1"/>
    </xf>
    <xf numFmtId="0" fontId="55" fillId="3" borderId="72" xfId="0" applyFont="1" applyFill="1" applyBorder="1" applyAlignment="1" applyProtection="1">
      <alignment horizontal="left" vertical="center" wrapText="1"/>
    </xf>
    <xf numFmtId="0" fontId="55" fillId="3" borderId="58" xfId="3" applyFont="1" applyFill="1" applyBorder="1" applyAlignment="1" applyProtection="1">
      <alignment horizontal="left" vertical="top" wrapText="1" readingOrder="1"/>
    </xf>
    <xf numFmtId="0" fontId="55" fillId="3" borderId="59" xfId="3" applyFont="1" applyFill="1" applyBorder="1" applyAlignment="1" applyProtection="1">
      <alignment horizontal="left" vertical="top" wrapText="1" readingOrder="1"/>
    </xf>
    <xf numFmtId="0" fontId="56" fillId="3" borderId="60" xfId="2" applyFont="1" applyFill="1" applyBorder="1" applyAlignment="1" applyProtection="1">
      <alignment horizontal="justify" vertical="center" wrapText="1"/>
    </xf>
    <xf numFmtId="0" fontId="56" fillId="3" borderId="61" xfId="2" applyFont="1" applyFill="1" applyBorder="1" applyAlignment="1" applyProtection="1">
      <alignment horizontal="justify" vertical="center" wrapText="1"/>
    </xf>
    <xf numFmtId="0" fontId="55" fillId="3" borderId="62" xfId="0" applyFont="1" applyFill="1" applyBorder="1" applyAlignment="1" applyProtection="1">
      <alignment horizontal="left" vertical="center" wrapText="1"/>
    </xf>
    <xf numFmtId="0" fontId="55" fillId="3" borderId="63" xfId="0" applyFont="1" applyFill="1" applyBorder="1" applyAlignment="1" applyProtection="1">
      <alignment horizontal="left" vertical="center" wrapText="1"/>
    </xf>
    <xf numFmtId="0" fontId="50" fillId="3" borderId="14" xfId="2" applyFont="1" applyFill="1" applyBorder="1" applyAlignment="1" applyProtection="1">
      <alignment horizontal="left" vertical="top" wrapText="1"/>
    </xf>
    <xf numFmtId="0" fontId="50" fillId="3" borderId="0" xfId="2" applyFont="1" applyFill="1" applyBorder="1" applyAlignment="1" applyProtection="1">
      <alignment horizontal="left" vertical="top" wrapText="1"/>
    </xf>
    <xf numFmtId="0" fontId="50" fillId="3" borderId="15" xfId="2" applyFont="1" applyFill="1" applyBorder="1" applyAlignment="1" applyProtection="1">
      <alignment horizontal="left" vertical="top" wrapText="1"/>
    </xf>
    <xf numFmtId="0" fontId="55" fillId="3" borderId="73" xfId="0" applyFont="1" applyFill="1" applyBorder="1" applyAlignment="1" applyProtection="1">
      <alignment horizontal="left" vertical="center" wrapText="1"/>
    </xf>
    <xf numFmtId="0" fontId="55" fillId="3" borderId="74" xfId="0" applyFont="1" applyFill="1" applyBorder="1" applyAlignment="1" applyProtection="1">
      <alignment horizontal="left" vertical="center" wrapText="1"/>
    </xf>
    <xf numFmtId="0" fontId="56" fillId="3" borderId="66" xfId="0" applyFont="1" applyFill="1" applyBorder="1" applyAlignment="1" applyProtection="1">
      <alignment horizontal="justify" vertical="center" wrapText="1"/>
    </xf>
    <xf numFmtId="0" fontId="56" fillId="3" borderId="67" xfId="0" applyFont="1" applyFill="1" applyBorder="1" applyAlignment="1" applyProtection="1">
      <alignment horizontal="justify" vertical="center" wrapText="1"/>
    </xf>
    <xf numFmtId="0" fontId="51" fillId="14" borderId="48" xfId="2" applyFont="1" applyFill="1" applyBorder="1" applyAlignment="1" applyProtection="1">
      <alignment horizontal="center" vertical="center" wrapText="1"/>
    </xf>
    <xf numFmtId="0" fontId="51" fillId="14" borderId="49" xfId="2" applyFont="1" applyFill="1" applyBorder="1" applyAlignment="1" applyProtection="1">
      <alignment horizontal="center" vertical="center" wrapText="1"/>
    </xf>
    <xf numFmtId="0" fontId="51" fillId="14" borderId="50" xfId="2" applyFont="1" applyFill="1" applyBorder="1" applyAlignment="1" applyProtection="1">
      <alignment horizontal="center" vertical="center" wrapText="1"/>
    </xf>
    <xf numFmtId="0" fontId="50" fillId="0" borderId="14" xfId="2" quotePrefix="1" applyFont="1" applyBorder="1" applyAlignment="1" applyProtection="1">
      <alignment horizontal="left" vertical="center" wrapText="1"/>
    </xf>
    <xf numFmtId="0" fontId="50" fillId="0" borderId="0" xfId="2" quotePrefix="1" applyFont="1" applyBorder="1" applyAlignment="1" applyProtection="1">
      <alignment horizontal="left" vertical="center" wrapText="1"/>
    </xf>
    <xf numFmtId="0" fontId="50" fillId="0" borderId="15" xfId="2" quotePrefix="1" applyFont="1" applyBorder="1" applyAlignment="1" applyProtection="1">
      <alignment horizontal="left" vertical="center" wrapText="1"/>
    </xf>
    <xf numFmtId="0" fontId="50" fillId="0" borderId="68" xfId="2" quotePrefix="1" applyFont="1" applyBorder="1" applyAlignment="1" applyProtection="1">
      <alignment horizontal="left" vertical="center" wrapText="1"/>
    </xf>
    <xf numFmtId="0" fontId="50" fillId="0" borderId="69" xfId="2" quotePrefix="1" applyFont="1" applyBorder="1" applyAlignment="1" applyProtection="1">
      <alignment horizontal="left" vertical="center" wrapText="1"/>
    </xf>
    <xf numFmtId="0" fontId="50" fillId="0" borderId="70" xfId="2" quotePrefix="1" applyFont="1" applyBorder="1" applyAlignment="1" applyProtection="1">
      <alignment horizontal="left" vertical="center" wrapText="1"/>
    </xf>
    <xf numFmtId="0" fontId="52" fillId="3" borderId="51" xfId="2" quotePrefix="1" applyFont="1" applyFill="1" applyBorder="1" applyAlignment="1" applyProtection="1">
      <alignment horizontal="left" vertical="top" wrapText="1"/>
    </xf>
    <xf numFmtId="0" fontId="53" fillId="3" borderId="52" xfId="2" quotePrefix="1" applyFont="1" applyFill="1" applyBorder="1" applyAlignment="1" applyProtection="1">
      <alignment horizontal="left" vertical="top" wrapText="1"/>
    </xf>
    <xf numFmtId="0" fontId="53" fillId="3" borderId="53" xfId="2" quotePrefix="1" applyFont="1" applyFill="1" applyBorder="1" applyAlignment="1" applyProtection="1">
      <alignment horizontal="left" vertical="top" wrapText="1"/>
    </xf>
    <xf numFmtId="0" fontId="50" fillId="0" borderId="14" xfId="2" quotePrefix="1" applyFont="1" applyBorder="1" applyAlignment="1" applyProtection="1">
      <alignment horizontal="left" vertical="top" wrapText="1"/>
    </xf>
    <xf numFmtId="0" fontId="50" fillId="0" borderId="0" xfId="2" quotePrefix="1" applyFont="1" applyBorder="1" applyAlignment="1" applyProtection="1">
      <alignment horizontal="left" vertical="top" wrapText="1"/>
    </xf>
    <xf numFmtId="0" fontId="50" fillId="0" borderId="15" xfId="2" quotePrefix="1" applyFont="1" applyBorder="1" applyAlignment="1" applyProtection="1">
      <alignment horizontal="left" vertical="top" wrapText="1"/>
    </xf>
    <xf numFmtId="0" fontId="55" fillId="14" borderId="54" xfId="3" applyFont="1" applyFill="1" applyBorder="1" applyAlignment="1" applyProtection="1">
      <alignment horizontal="center" vertical="center" wrapText="1"/>
    </xf>
    <xf numFmtId="0" fontId="55" fillId="14" borderId="55" xfId="3" applyFont="1" applyFill="1" applyBorder="1" applyAlignment="1" applyProtection="1">
      <alignment horizontal="center" vertical="center" wrapText="1"/>
    </xf>
    <xf numFmtId="0" fontId="55" fillId="14" borderId="56" xfId="2" applyFont="1" applyFill="1" applyBorder="1" applyAlignment="1" applyProtection="1">
      <alignment horizontal="center" vertical="center"/>
    </xf>
    <xf numFmtId="0" fontId="5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9" fontId="1" fillId="0" borderId="4" xfId="0" applyNumberFormat="1" applyFont="1" applyFill="1" applyBorder="1" applyAlignment="1" applyProtection="1">
      <alignment horizontal="center" vertical="top"/>
      <protection hidden="1"/>
    </xf>
    <xf numFmtId="9" fontId="1" fillId="0" borderId="8" xfId="0" applyNumberFormat="1" applyFont="1" applyFill="1" applyBorder="1" applyAlignment="1" applyProtection="1">
      <alignment horizontal="center" vertical="top"/>
      <protection hidden="1"/>
    </xf>
    <xf numFmtId="9" fontId="1" fillId="0" borderId="5" xfId="0" applyNumberFormat="1" applyFont="1" applyFill="1" applyBorder="1" applyAlignment="1" applyProtection="1">
      <alignment horizontal="center" vertical="top"/>
      <protection hidden="1"/>
    </xf>
    <xf numFmtId="0" fontId="4" fillId="0" borderId="4" xfId="0" applyFont="1" applyBorder="1" applyAlignment="1" applyProtection="1">
      <alignment horizontal="center" vertical="top" textRotation="90"/>
      <protection hidden="1"/>
    </xf>
    <xf numFmtId="0" fontId="4" fillId="0" borderId="8" xfId="0" applyFont="1" applyBorder="1" applyAlignment="1" applyProtection="1">
      <alignment horizontal="center" vertical="top" textRotation="90"/>
      <protection hidden="1"/>
    </xf>
    <xf numFmtId="0" fontId="4" fillId="0" borderId="5"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8" xfId="0" applyFont="1" applyBorder="1" applyAlignment="1" applyProtection="1">
      <alignment horizontal="center" vertical="top" textRotation="90"/>
      <protection locked="0"/>
    </xf>
    <xf numFmtId="0" fontId="1" fillId="0" borderId="5" xfId="0" applyFont="1" applyBorder="1" applyAlignment="1" applyProtection="1">
      <alignment horizontal="center" vertical="top" textRotation="90"/>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9" fontId="1" fillId="0" borderId="4" xfId="0" applyNumberFormat="1" applyFont="1" applyBorder="1" applyAlignment="1" applyProtection="1">
      <alignment horizontal="center" vertical="top"/>
      <protection hidden="1"/>
    </xf>
    <xf numFmtId="9" fontId="1" fillId="0" borderId="8" xfId="0" applyNumberFormat="1" applyFont="1" applyBorder="1" applyAlignment="1" applyProtection="1">
      <alignment horizontal="center" vertical="top"/>
      <protection hidden="1"/>
    </xf>
    <xf numFmtId="9" fontId="1" fillId="0" borderId="5" xfId="0" applyNumberFormat="1" applyFont="1" applyBorder="1" applyAlignment="1" applyProtection="1">
      <alignment horizontal="center" vertical="top"/>
      <protection hidden="1"/>
    </xf>
    <xf numFmtId="0" fontId="4" fillId="0" borderId="4" xfId="0" applyFont="1" applyFill="1" applyBorder="1" applyAlignment="1" applyProtection="1">
      <alignment horizontal="center" vertical="top" textRotation="90" wrapText="1"/>
      <protection hidden="1"/>
    </xf>
    <xf numFmtId="0" fontId="4" fillId="0" borderId="8" xfId="0" applyFont="1" applyFill="1" applyBorder="1" applyAlignment="1" applyProtection="1">
      <alignment horizontal="center" vertical="top" textRotation="90" wrapText="1"/>
      <protection hidden="1"/>
    </xf>
    <xf numFmtId="0" fontId="4" fillId="0" borderId="5" xfId="0" applyFont="1" applyFill="1" applyBorder="1" applyAlignment="1" applyProtection="1">
      <alignment horizontal="center" vertical="top" textRotation="90" wrapText="1"/>
      <protection hidden="1"/>
    </xf>
    <xf numFmtId="0" fontId="1" fillId="0" borderId="78" xfId="0" applyFont="1" applyBorder="1" applyAlignment="1" applyProtection="1">
      <alignment horizontal="center" vertical="top" wrapText="1"/>
      <protection locked="0"/>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27" fillId="3" borderId="6" xfId="0" applyFont="1" applyFill="1" applyBorder="1" applyAlignment="1" applyProtection="1">
      <alignment horizontal="center" vertical="center"/>
      <protection locked="0"/>
    </xf>
    <xf numFmtId="0" fontId="27" fillId="3" borderId="10" xfId="0" applyFont="1" applyFill="1" applyBorder="1" applyAlignment="1" applyProtection="1">
      <alignment horizontal="center" vertical="center"/>
      <protection locked="0"/>
    </xf>
    <xf numFmtId="0" fontId="27" fillId="3" borderId="7" xfId="0" applyFont="1" applyFill="1" applyBorder="1" applyAlignment="1" applyProtection="1">
      <alignment horizontal="center" vertical="center"/>
      <protection locked="0"/>
    </xf>
    <xf numFmtId="0" fontId="1" fillId="3" borderId="0" xfId="0" applyFont="1" applyFill="1" applyBorder="1" applyAlignment="1">
      <alignment horizontal="left" vertical="center"/>
    </xf>
    <xf numFmtId="0" fontId="6" fillId="0" borderId="4" xfId="0" quotePrefix="1" applyFont="1" applyBorder="1" applyAlignment="1" applyProtection="1">
      <alignment horizontal="center" vertical="top" wrapText="1"/>
      <protection locked="0"/>
    </xf>
    <xf numFmtId="0" fontId="6" fillId="0" borderId="8" xfId="0" applyFont="1" applyBorder="1" applyAlignment="1" applyProtection="1">
      <alignment horizontal="center" vertical="top" wrapText="1"/>
      <protection locked="0"/>
    </xf>
    <xf numFmtId="0" fontId="6"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hidden="1"/>
    </xf>
    <xf numFmtId="0" fontId="1" fillId="0" borderId="8" xfId="0" applyFont="1" applyBorder="1" applyAlignment="1" applyProtection="1">
      <alignment horizontal="center" vertical="top"/>
      <protection hidden="1"/>
    </xf>
    <xf numFmtId="0" fontId="1" fillId="0" borderId="5" xfId="0" applyFont="1" applyBorder="1" applyAlignment="1" applyProtection="1">
      <alignment horizontal="center" vertical="top"/>
      <protection hidden="1"/>
    </xf>
    <xf numFmtId="0" fontId="6" fillId="0" borderId="4" xfId="0" applyFont="1" applyBorder="1" applyAlignment="1" applyProtection="1">
      <alignment horizontal="center" vertical="top" wrapText="1"/>
      <protection locked="0"/>
    </xf>
    <xf numFmtId="0" fontId="48" fillId="0" borderId="75" xfId="0" applyFont="1" applyBorder="1" applyAlignment="1">
      <alignment horizontal="center" vertical="center" wrapText="1"/>
    </xf>
    <xf numFmtId="0" fontId="48" fillId="0" borderId="76" xfId="0" applyFont="1" applyBorder="1" applyAlignment="1">
      <alignment horizontal="center" vertical="center"/>
    </xf>
    <xf numFmtId="0" fontId="48" fillId="0" borderId="77" xfId="0" applyFont="1" applyBorder="1" applyAlignment="1">
      <alignment horizontal="center" vertical="center"/>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76">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348804</xdr:colOff>
      <xdr:row>3</xdr:row>
      <xdr:rowOff>53660</xdr:rowOff>
    </xdr:from>
    <xdr:to>
      <xdr:col>22</xdr:col>
      <xdr:colOff>107323</xdr:colOff>
      <xdr:row>5</xdr:row>
      <xdr:rowOff>308556</xdr:rowOff>
    </xdr:to>
    <xdr:pic>
      <xdr:nvPicPr>
        <xdr:cNvPr id="7" name="Imagen 6" descr="logo final edat">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10917" y="791512"/>
          <a:ext cx="1851337" cy="965917"/>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18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2578125" defaultRowHeight="15" x14ac:dyDescent="0.25"/>
  <cols>
    <col min="1" max="1" width="2.85546875" style="84" customWidth="1"/>
    <col min="2" max="3" width="24.7109375" style="84" customWidth="1"/>
    <col min="4" max="4" width="16" style="84" customWidth="1"/>
    <col min="5" max="5" width="24.7109375" style="84" customWidth="1"/>
    <col min="6" max="6" width="27.7109375" style="84" customWidth="1"/>
    <col min="7" max="8" width="24.7109375" style="84" customWidth="1"/>
    <col min="9" max="16384" width="11.42578125" style="84"/>
  </cols>
  <sheetData>
    <row r="1" spans="2:8" ht="15.75" thickBot="1" x14ac:dyDescent="0.3"/>
    <row r="2" spans="2:8" ht="18" x14ac:dyDescent="0.25">
      <c r="B2" s="188" t="s">
        <v>166</v>
      </c>
      <c r="C2" s="189"/>
      <c r="D2" s="189"/>
      <c r="E2" s="189"/>
      <c r="F2" s="189"/>
      <c r="G2" s="189"/>
      <c r="H2" s="190"/>
    </row>
    <row r="3" spans="2:8" x14ac:dyDescent="0.25">
      <c r="B3" s="85"/>
      <c r="C3" s="86"/>
      <c r="D3" s="86"/>
      <c r="E3" s="86"/>
      <c r="F3" s="86"/>
      <c r="G3" s="86"/>
      <c r="H3" s="87"/>
    </row>
    <row r="4" spans="2:8" ht="63" customHeight="1" x14ac:dyDescent="0.25">
      <c r="B4" s="191" t="s">
        <v>209</v>
      </c>
      <c r="C4" s="192"/>
      <c r="D4" s="192"/>
      <c r="E4" s="192"/>
      <c r="F4" s="192"/>
      <c r="G4" s="192"/>
      <c r="H4" s="193"/>
    </row>
    <row r="5" spans="2:8" ht="63" customHeight="1" x14ac:dyDescent="0.25">
      <c r="B5" s="194"/>
      <c r="C5" s="195"/>
      <c r="D5" s="195"/>
      <c r="E5" s="195"/>
      <c r="F5" s="195"/>
      <c r="G5" s="195"/>
      <c r="H5" s="196"/>
    </row>
    <row r="6" spans="2:8" ht="16.5" x14ac:dyDescent="0.25">
      <c r="B6" s="197" t="s">
        <v>164</v>
      </c>
      <c r="C6" s="198"/>
      <c r="D6" s="198"/>
      <c r="E6" s="198"/>
      <c r="F6" s="198"/>
      <c r="G6" s="198"/>
      <c r="H6" s="199"/>
    </row>
    <row r="7" spans="2:8" ht="95.25" customHeight="1" x14ac:dyDescent="0.25">
      <c r="B7" s="207" t="s">
        <v>169</v>
      </c>
      <c r="C7" s="208"/>
      <c r="D7" s="208"/>
      <c r="E7" s="208"/>
      <c r="F7" s="208"/>
      <c r="G7" s="208"/>
      <c r="H7" s="209"/>
    </row>
    <row r="8" spans="2:8" ht="16.5" x14ac:dyDescent="0.25">
      <c r="B8" s="122"/>
      <c r="C8" s="123"/>
      <c r="D8" s="123"/>
      <c r="E8" s="123"/>
      <c r="F8" s="123"/>
      <c r="G8" s="123"/>
      <c r="H8" s="124"/>
    </row>
    <row r="9" spans="2:8" ht="16.5" customHeight="1" x14ac:dyDescent="0.25">
      <c r="B9" s="200" t="s">
        <v>202</v>
      </c>
      <c r="C9" s="201"/>
      <c r="D9" s="201"/>
      <c r="E9" s="201"/>
      <c r="F9" s="201"/>
      <c r="G9" s="201"/>
      <c r="H9" s="202"/>
    </row>
    <row r="10" spans="2:8" ht="44.25" customHeight="1" x14ac:dyDescent="0.25">
      <c r="B10" s="200"/>
      <c r="C10" s="201"/>
      <c r="D10" s="201"/>
      <c r="E10" s="201"/>
      <c r="F10" s="201"/>
      <c r="G10" s="201"/>
      <c r="H10" s="202"/>
    </row>
    <row r="11" spans="2:8" ht="15.75" thickBot="1" x14ac:dyDescent="0.3">
      <c r="B11" s="110"/>
      <c r="C11" s="113"/>
      <c r="D11" s="118"/>
      <c r="E11" s="119"/>
      <c r="F11" s="119"/>
      <c r="G11" s="120"/>
      <c r="H11" s="121"/>
    </row>
    <row r="12" spans="2:8" ht="15.75" thickTop="1" x14ac:dyDescent="0.25">
      <c r="B12" s="110"/>
      <c r="C12" s="203" t="s">
        <v>165</v>
      </c>
      <c r="D12" s="204"/>
      <c r="E12" s="205" t="s">
        <v>203</v>
      </c>
      <c r="F12" s="206"/>
      <c r="G12" s="113"/>
      <c r="H12" s="114"/>
    </row>
    <row r="13" spans="2:8" ht="35.25" customHeight="1" x14ac:dyDescent="0.25">
      <c r="B13" s="110"/>
      <c r="C13" s="175" t="s">
        <v>196</v>
      </c>
      <c r="D13" s="176"/>
      <c r="E13" s="177" t="s">
        <v>201</v>
      </c>
      <c r="F13" s="178"/>
      <c r="G13" s="113"/>
      <c r="H13" s="114"/>
    </row>
    <row r="14" spans="2:8" ht="17.25" customHeight="1" x14ac:dyDescent="0.25">
      <c r="B14" s="110"/>
      <c r="C14" s="175" t="s">
        <v>197</v>
      </c>
      <c r="D14" s="176"/>
      <c r="E14" s="177" t="s">
        <v>199</v>
      </c>
      <c r="F14" s="178"/>
      <c r="G14" s="113"/>
      <c r="H14" s="114"/>
    </row>
    <row r="15" spans="2:8" ht="19.5" customHeight="1" x14ac:dyDescent="0.25">
      <c r="B15" s="110"/>
      <c r="C15" s="175" t="s">
        <v>198</v>
      </c>
      <c r="D15" s="176"/>
      <c r="E15" s="177" t="s">
        <v>200</v>
      </c>
      <c r="F15" s="178"/>
      <c r="G15" s="113"/>
      <c r="H15" s="114"/>
    </row>
    <row r="16" spans="2:8" ht="69.75" customHeight="1" x14ac:dyDescent="0.25">
      <c r="B16" s="110"/>
      <c r="C16" s="175" t="s">
        <v>167</v>
      </c>
      <c r="D16" s="176"/>
      <c r="E16" s="177" t="s">
        <v>168</v>
      </c>
      <c r="F16" s="178"/>
      <c r="G16" s="113"/>
      <c r="H16" s="114"/>
    </row>
    <row r="17" spans="2:8" ht="34.5" customHeight="1" x14ac:dyDescent="0.25">
      <c r="B17" s="110"/>
      <c r="C17" s="179" t="s">
        <v>2</v>
      </c>
      <c r="D17" s="180"/>
      <c r="E17" s="171" t="s">
        <v>210</v>
      </c>
      <c r="F17" s="172"/>
      <c r="G17" s="113"/>
      <c r="H17" s="114"/>
    </row>
    <row r="18" spans="2:8" ht="27.75" customHeight="1" x14ac:dyDescent="0.25">
      <c r="B18" s="110"/>
      <c r="C18" s="179" t="s">
        <v>3</v>
      </c>
      <c r="D18" s="180"/>
      <c r="E18" s="171" t="s">
        <v>211</v>
      </c>
      <c r="F18" s="172"/>
      <c r="G18" s="113"/>
      <c r="H18" s="114"/>
    </row>
    <row r="19" spans="2:8" ht="28.5" customHeight="1" x14ac:dyDescent="0.25">
      <c r="B19" s="110"/>
      <c r="C19" s="179" t="s">
        <v>42</v>
      </c>
      <c r="D19" s="180"/>
      <c r="E19" s="171" t="s">
        <v>212</v>
      </c>
      <c r="F19" s="172"/>
      <c r="G19" s="113"/>
      <c r="H19" s="114"/>
    </row>
    <row r="20" spans="2:8" ht="72.75" customHeight="1" x14ac:dyDescent="0.25">
      <c r="B20" s="110"/>
      <c r="C20" s="179" t="s">
        <v>1</v>
      </c>
      <c r="D20" s="180"/>
      <c r="E20" s="171" t="s">
        <v>213</v>
      </c>
      <c r="F20" s="172"/>
      <c r="G20" s="113"/>
      <c r="H20" s="114"/>
    </row>
    <row r="21" spans="2:8" ht="64.5" customHeight="1" x14ac:dyDescent="0.25">
      <c r="B21" s="110"/>
      <c r="C21" s="179" t="s">
        <v>50</v>
      </c>
      <c r="D21" s="180"/>
      <c r="E21" s="171" t="s">
        <v>171</v>
      </c>
      <c r="F21" s="172"/>
      <c r="G21" s="113"/>
      <c r="H21" s="114"/>
    </row>
    <row r="22" spans="2:8" ht="71.25" customHeight="1" x14ac:dyDescent="0.25">
      <c r="B22" s="110"/>
      <c r="C22" s="179" t="s">
        <v>170</v>
      </c>
      <c r="D22" s="180"/>
      <c r="E22" s="171" t="s">
        <v>172</v>
      </c>
      <c r="F22" s="172"/>
      <c r="G22" s="113"/>
      <c r="H22" s="114"/>
    </row>
    <row r="23" spans="2:8" ht="55.5" customHeight="1" x14ac:dyDescent="0.25">
      <c r="B23" s="110"/>
      <c r="C23" s="173" t="s">
        <v>173</v>
      </c>
      <c r="D23" s="174"/>
      <c r="E23" s="171" t="s">
        <v>174</v>
      </c>
      <c r="F23" s="172"/>
      <c r="G23" s="113"/>
      <c r="H23" s="114"/>
    </row>
    <row r="24" spans="2:8" ht="42" customHeight="1" x14ac:dyDescent="0.25">
      <c r="B24" s="110"/>
      <c r="C24" s="173" t="s">
        <v>48</v>
      </c>
      <c r="D24" s="174"/>
      <c r="E24" s="171" t="s">
        <v>175</v>
      </c>
      <c r="F24" s="172"/>
      <c r="G24" s="113"/>
      <c r="H24" s="114"/>
    </row>
    <row r="25" spans="2:8" ht="59.25" customHeight="1" x14ac:dyDescent="0.25">
      <c r="B25" s="110"/>
      <c r="C25" s="173" t="s">
        <v>163</v>
      </c>
      <c r="D25" s="174"/>
      <c r="E25" s="171" t="s">
        <v>176</v>
      </c>
      <c r="F25" s="172"/>
      <c r="G25" s="113"/>
      <c r="H25" s="114"/>
    </row>
    <row r="26" spans="2:8" ht="23.25" customHeight="1" x14ac:dyDescent="0.25">
      <c r="B26" s="110"/>
      <c r="C26" s="173" t="s">
        <v>12</v>
      </c>
      <c r="D26" s="174"/>
      <c r="E26" s="171" t="s">
        <v>177</v>
      </c>
      <c r="F26" s="172"/>
      <c r="G26" s="113"/>
      <c r="H26" s="114"/>
    </row>
    <row r="27" spans="2:8" ht="30.75" customHeight="1" x14ac:dyDescent="0.25">
      <c r="B27" s="110"/>
      <c r="C27" s="173" t="s">
        <v>181</v>
      </c>
      <c r="D27" s="174"/>
      <c r="E27" s="171" t="s">
        <v>178</v>
      </c>
      <c r="F27" s="172"/>
      <c r="G27" s="113"/>
      <c r="H27" s="114"/>
    </row>
    <row r="28" spans="2:8" ht="35.25" customHeight="1" x14ac:dyDescent="0.25">
      <c r="B28" s="110"/>
      <c r="C28" s="173" t="s">
        <v>182</v>
      </c>
      <c r="D28" s="174"/>
      <c r="E28" s="171" t="s">
        <v>179</v>
      </c>
      <c r="F28" s="172"/>
      <c r="G28" s="113"/>
      <c r="H28" s="114"/>
    </row>
    <row r="29" spans="2:8" ht="33" customHeight="1" x14ac:dyDescent="0.25">
      <c r="B29" s="110"/>
      <c r="C29" s="173" t="s">
        <v>182</v>
      </c>
      <c r="D29" s="174"/>
      <c r="E29" s="171" t="s">
        <v>179</v>
      </c>
      <c r="F29" s="172"/>
      <c r="G29" s="113"/>
      <c r="H29" s="114"/>
    </row>
    <row r="30" spans="2:8" ht="30" customHeight="1" x14ac:dyDescent="0.25">
      <c r="B30" s="110"/>
      <c r="C30" s="173" t="s">
        <v>183</v>
      </c>
      <c r="D30" s="174"/>
      <c r="E30" s="171" t="s">
        <v>180</v>
      </c>
      <c r="F30" s="172"/>
      <c r="G30" s="113"/>
      <c r="H30" s="114"/>
    </row>
    <row r="31" spans="2:8" ht="35.25" customHeight="1" x14ac:dyDescent="0.25">
      <c r="B31" s="110"/>
      <c r="C31" s="173" t="s">
        <v>184</v>
      </c>
      <c r="D31" s="174"/>
      <c r="E31" s="171" t="s">
        <v>185</v>
      </c>
      <c r="F31" s="172"/>
      <c r="G31" s="113"/>
      <c r="H31" s="114"/>
    </row>
    <row r="32" spans="2:8" ht="31.5" customHeight="1" x14ac:dyDescent="0.25">
      <c r="B32" s="110"/>
      <c r="C32" s="173" t="s">
        <v>186</v>
      </c>
      <c r="D32" s="174"/>
      <c r="E32" s="171" t="s">
        <v>187</v>
      </c>
      <c r="F32" s="172"/>
      <c r="G32" s="113"/>
      <c r="H32" s="114"/>
    </row>
    <row r="33" spans="2:8" ht="35.25" customHeight="1" x14ac:dyDescent="0.25">
      <c r="B33" s="110"/>
      <c r="C33" s="173" t="s">
        <v>188</v>
      </c>
      <c r="D33" s="174"/>
      <c r="E33" s="171" t="s">
        <v>189</v>
      </c>
      <c r="F33" s="172"/>
      <c r="G33" s="113"/>
      <c r="H33" s="114"/>
    </row>
    <row r="34" spans="2:8" ht="59.25" customHeight="1" x14ac:dyDescent="0.25">
      <c r="B34" s="110"/>
      <c r="C34" s="173" t="s">
        <v>190</v>
      </c>
      <c r="D34" s="174"/>
      <c r="E34" s="171" t="s">
        <v>191</v>
      </c>
      <c r="F34" s="172"/>
      <c r="G34" s="113"/>
      <c r="H34" s="114"/>
    </row>
    <row r="35" spans="2:8" ht="29.25" customHeight="1" x14ac:dyDescent="0.25">
      <c r="B35" s="110"/>
      <c r="C35" s="173" t="s">
        <v>29</v>
      </c>
      <c r="D35" s="174"/>
      <c r="E35" s="171" t="s">
        <v>192</v>
      </c>
      <c r="F35" s="172"/>
      <c r="G35" s="113"/>
      <c r="H35" s="114"/>
    </row>
    <row r="36" spans="2:8" ht="82.5" customHeight="1" x14ac:dyDescent="0.25">
      <c r="B36" s="110"/>
      <c r="C36" s="173" t="s">
        <v>194</v>
      </c>
      <c r="D36" s="174"/>
      <c r="E36" s="171" t="s">
        <v>193</v>
      </c>
      <c r="F36" s="172"/>
      <c r="G36" s="113"/>
      <c r="H36" s="114"/>
    </row>
    <row r="37" spans="2:8" ht="46.5" customHeight="1" x14ac:dyDescent="0.25">
      <c r="B37" s="110"/>
      <c r="C37" s="173" t="s">
        <v>39</v>
      </c>
      <c r="D37" s="174"/>
      <c r="E37" s="171" t="s">
        <v>195</v>
      </c>
      <c r="F37" s="172"/>
      <c r="G37" s="113"/>
      <c r="H37" s="114"/>
    </row>
    <row r="38" spans="2:8" ht="6.75" customHeight="1" thickBot="1" x14ac:dyDescent="0.3">
      <c r="B38" s="110"/>
      <c r="C38" s="184"/>
      <c r="D38" s="185"/>
      <c r="E38" s="186"/>
      <c r="F38" s="187"/>
      <c r="G38" s="113"/>
      <c r="H38" s="114"/>
    </row>
    <row r="39" spans="2:8" ht="15.75" thickTop="1" x14ac:dyDescent="0.25">
      <c r="B39" s="110"/>
      <c r="C39" s="111"/>
      <c r="D39" s="111"/>
      <c r="E39" s="112"/>
      <c r="F39" s="112"/>
      <c r="G39" s="113"/>
      <c r="H39" s="114"/>
    </row>
    <row r="40" spans="2:8" ht="21" customHeight="1" x14ac:dyDescent="0.25">
      <c r="B40" s="181" t="s">
        <v>204</v>
      </c>
      <c r="C40" s="182"/>
      <c r="D40" s="182"/>
      <c r="E40" s="182"/>
      <c r="F40" s="182"/>
      <c r="G40" s="182"/>
      <c r="H40" s="183"/>
    </row>
    <row r="41" spans="2:8" ht="20.25" customHeight="1" x14ac:dyDescent="0.25">
      <c r="B41" s="181" t="s">
        <v>205</v>
      </c>
      <c r="C41" s="182"/>
      <c r="D41" s="182"/>
      <c r="E41" s="182"/>
      <c r="F41" s="182"/>
      <c r="G41" s="182"/>
      <c r="H41" s="183"/>
    </row>
    <row r="42" spans="2:8" ht="20.25" customHeight="1" x14ac:dyDescent="0.25">
      <c r="B42" s="181" t="s">
        <v>206</v>
      </c>
      <c r="C42" s="182"/>
      <c r="D42" s="182"/>
      <c r="E42" s="182"/>
      <c r="F42" s="182"/>
      <c r="G42" s="182"/>
      <c r="H42" s="183"/>
    </row>
    <row r="43" spans="2:8" ht="20.25" customHeight="1" x14ac:dyDescent="0.25">
      <c r="B43" s="181" t="s">
        <v>207</v>
      </c>
      <c r="C43" s="182"/>
      <c r="D43" s="182"/>
      <c r="E43" s="182"/>
      <c r="F43" s="182"/>
      <c r="G43" s="182"/>
      <c r="H43" s="183"/>
    </row>
    <row r="44" spans="2:8" x14ac:dyDescent="0.25">
      <c r="B44" s="181" t="s">
        <v>208</v>
      </c>
      <c r="C44" s="182"/>
      <c r="D44" s="182"/>
      <c r="E44" s="182"/>
      <c r="F44" s="182"/>
      <c r="G44" s="182"/>
      <c r="H44" s="183"/>
    </row>
    <row r="45" spans="2:8" ht="15.75" thickBot="1" x14ac:dyDescent="0.3">
      <c r="B45" s="115"/>
      <c r="C45" s="116"/>
      <c r="D45" s="116"/>
      <c r="E45" s="116"/>
      <c r="F45" s="116"/>
      <c r="G45" s="116"/>
      <c r="H45" s="117"/>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45"/>
  <sheetViews>
    <sheetView tabSelected="1" topLeftCell="AC1" zoomScale="110" zoomScaleNormal="110" workbookViewId="0">
      <pane ySplit="1" topLeftCell="A5" activePane="bottomLeft" state="frozen"/>
      <selection pane="bottomLeft" activeCell="AG24" sqref="AG24"/>
    </sheetView>
  </sheetViews>
  <sheetFormatPr baseColWidth="10" defaultColWidth="11.42578125" defaultRowHeight="16.5" x14ac:dyDescent="0.3"/>
  <cols>
    <col min="1" max="1" width="4" style="2" bestFit="1" customWidth="1"/>
    <col min="2" max="2" width="14.140625" style="2" customWidth="1"/>
    <col min="3" max="3" width="15.85546875" style="2" customWidth="1"/>
    <col min="4" max="4" width="24.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0.42578125" style="1" hidden="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13"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229" t="s">
        <v>144</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H1" s="230"/>
      <c r="AI1" s="230"/>
      <c r="AJ1" s="231"/>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32"/>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4"/>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thickBot="1" x14ac:dyDescent="0.35">
      <c r="A4" s="262" t="s">
        <v>43</v>
      </c>
      <c r="B4" s="263"/>
      <c r="C4" s="271" t="s">
        <v>235</v>
      </c>
      <c r="D4" s="272"/>
      <c r="E4" s="272"/>
      <c r="F4" s="272"/>
      <c r="G4" s="272"/>
      <c r="H4" s="272"/>
      <c r="I4" s="272"/>
      <c r="J4" s="272"/>
      <c r="K4" s="272"/>
      <c r="L4" s="272"/>
      <c r="M4" s="272"/>
      <c r="N4" s="273"/>
      <c r="O4" s="274"/>
      <c r="P4" s="274"/>
      <c r="Q4" s="274"/>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thickBot="1" x14ac:dyDescent="0.35">
      <c r="A5" s="262" t="s">
        <v>130</v>
      </c>
      <c r="B5" s="263"/>
      <c r="C5" s="282" t="s">
        <v>214</v>
      </c>
      <c r="D5" s="283"/>
      <c r="E5" s="283"/>
      <c r="F5" s="283"/>
      <c r="G5" s="283"/>
      <c r="H5" s="283"/>
      <c r="I5" s="283"/>
      <c r="J5" s="283"/>
      <c r="K5" s="283"/>
      <c r="L5" s="283"/>
      <c r="M5" s="283"/>
      <c r="N5" s="283"/>
      <c r="O5" s="283"/>
      <c r="P5" s="283"/>
      <c r="Q5" s="284"/>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62" t="s">
        <v>44</v>
      </c>
      <c r="B6" s="263"/>
      <c r="C6" s="292" t="s">
        <v>231</v>
      </c>
      <c r="D6" s="293"/>
      <c r="E6" s="293"/>
      <c r="F6" s="293"/>
      <c r="G6" s="293"/>
      <c r="H6" s="293"/>
      <c r="I6" s="293"/>
      <c r="J6" s="293"/>
      <c r="K6" s="293"/>
      <c r="L6" s="293"/>
      <c r="M6" s="293"/>
      <c r="N6" s="294"/>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5" t="s">
        <v>139</v>
      </c>
      <c r="B7" s="236"/>
      <c r="C7" s="236"/>
      <c r="D7" s="236"/>
      <c r="E7" s="236"/>
      <c r="F7" s="236"/>
      <c r="G7" s="237"/>
      <c r="H7" s="235" t="s">
        <v>140</v>
      </c>
      <c r="I7" s="236"/>
      <c r="J7" s="236"/>
      <c r="K7" s="236"/>
      <c r="L7" s="236"/>
      <c r="M7" s="236"/>
      <c r="N7" s="237"/>
      <c r="O7" s="235" t="s">
        <v>141</v>
      </c>
      <c r="P7" s="236"/>
      <c r="Q7" s="236"/>
      <c r="R7" s="236"/>
      <c r="S7" s="236"/>
      <c r="T7" s="236"/>
      <c r="U7" s="236"/>
      <c r="V7" s="236"/>
      <c r="W7" s="237"/>
      <c r="X7" s="235" t="s">
        <v>142</v>
      </c>
      <c r="Y7" s="236"/>
      <c r="Z7" s="236"/>
      <c r="AA7" s="236"/>
      <c r="AB7" s="236"/>
      <c r="AC7" s="236"/>
      <c r="AD7" s="237"/>
      <c r="AE7" s="235" t="s">
        <v>34</v>
      </c>
      <c r="AF7" s="236"/>
      <c r="AG7" s="236"/>
      <c r="AH7" s="236"/>
      <c r="AI7" s="236"/>
      <c r="AJ7" s="237"/>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64" t="s">
        <v>0</v>
      </c>
      <c r="B8" s="269" t="s">
        <v>2</v>
      </c>
      <c r="C8" s="267" t="s">
        <v>3</v>
      </c>
      <c r="D8" s="267" t="s">
        <v>42</v>
      </c>
      <c r="E8" s="268" t="s">
        <v>1</v>
      </c>
      <c r="F8" s="266" t="s">
        <v>50</v>
      </c>
      <c r="G8" s="267" t="s">
        <v>135</v>
      </c>
      <c r="H8" s="286" t="s">
        <v>33</v>
      </c>
      <c r="I8" s="287" t="s">
        <v>5</v>
      </c>
      <c r="J8" s="266" t="s">
        <v>87</v>
      </c>
      <c r="K8" s="266" t="s">
        <v>92</v>
      </c>
      <c r="L8" s="289" t="s">
        <v>45</v>
      </c>
      <c r="M8" s="287" t="s">
        <v>5</v>
      </c>
      <c r="N8" s="267" t="s">
        <v>48</v>
      </c>
      <c r="O8" s="290" t="s">
        <v>11</v>
      </c>
      <c r="P8" s="270" t="s">
        <v>163</v>
      </c>
      <c r="Q8" s="266" t="s">
        <v>12</v>
      </c>
      <c r="R8" s="270" t="s">
        <v>8</v>
      </c>
      <c r="S8" s="270"/>
      <c r="T8" s="270"/>
      <c r="U8" s="270"/>
      <c r="V8" s="270"/>
      <c r="W8" s="270"/>
      <c r="X8" s="285" t="s">
        <v>138</v>
      </c>
      <c r="Y8" s="285" t="s">
        <v>46</v>
      </c>
      <c r="Z8" s="285" t="s">
        <v>5</v>
      </c>
      <c r="AA8" s="285" t="s">
        <v>47</v>
      </c>
      <c r="AB8" s="285" t="s">
        <v>5</v>
      </c>
      <c r="AC8" s="285" t="s">
        <v>49</v>
      </c>
      <c r="AD8" s="290" t="s">
        <v>29</v>
      </c>
      <c r="AE8" s="270" t="s">
        <v>34</v>
      </c>
      <c r="AF8" s="270" t="s">
        <v>35</v>
      </c>
      <c r="AG8" s="270" t="s">
        <v>36</v>
      </c>
      <c r="AH8" s="270" t="s">
        <v>38</v>
      </c>
      <c r="AI8" s="270" t="s">
        <v>37</v>
      </c>
      <c r="AJ8" s="270"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65"/>
      <c r="B9" s="269"/>
      <c r="C9" s="270"/>
      <c r="D9" s="270"/>
      <c r="E9" s="269"/>
      <c r="F9" s="267"/>
      <c r="G9" s="270"/>
      <c r="H9" s="267"/>
      <c r="I9" s="288"/>
      <c r="J9" s="267"/>
      <c r="K9" s="267"/>
      <c r="L9" s="288"/>
      <c r="M9" s="288"/>
      <c r="N9" s="270"/>
      <c r="O9" s="291"/>
      <c r="P9" s="270"/>
      <c r="Q9" s="267"/>
      <c r="R9" s="7" t="s">
        <v>13</v>
      </c>
      <c r="S9" s="7" t="s">
        <v>17</v>
      </c>
      <c r="T9" s="7" t="s">
        <v>28</v>
      </c>
      <c r="U9" s="7" t="s">
        <v>18</v>
      </c>
      <c r="V9" s="7" t="s">
        <v>21</v>
      </c>
      <c r="W9" s="7" t="s">
        <v>24</v>
      </c>
      <c r="X9" s="285"/>
      <c r="Y9" s="285"/>
      <c r="Z9" s="285"/>
      <c r="AA9" s="285"/>
      <c r="AB9" s="285"/>
      <c r="AC9" s="285"/>
      <c r="AD9" s="291"/>
      <c r="AE9" s="270"/>
      <c r="AF9" s="270"/>
      <c r="AG9" s="270"/>
      <c r="AH9" s="270"/>
      <c r="AI9" s="270"/>
      <c r="AJ9" s="270"/>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350.25" customHeight="1" x14ac:dyDescent="0.25">
      <c r="A10" s="147">
        <v>1</v>
      </c>
      <c r="B10" s="141" t="s">
        <v>132</v>
      </c>
      <c r="C10" s="141"/>
      <c r="D10" s="141" t="s">
        <v>232</v>
      </c>
      <c r="E10" s="149" t="s">
        <v>215</v>
      </c>
      <c r="F10" s="141" t="s">
        <v>123</v>
      </c>
      <c r="G10" s="143" t="s">
        <v>216</v>
      </c>
      <c r="H10" s="145" t="s">
        <v>218</v>
      </c>
      <c r="I10" s="153">
        <f>IF(H10="","",IF(H10="Muy Baja",0.2,IF(H10="Baja",0.4,IF(H10="Media",0.6,IF(H10="Alta",0.8,IF(H10="Muy Alta",1,))))))</f>
        <v>0.6</v>
      </c>
      <c r="J10" s="155" t="s">
        <v>57</v>
      </c>
      <c r="K10" s="153" t="str">
        <f>IF(NOT(ISERROR(MATCH(J10,'Tabla Impacto'!$B$221:$B$223,0))),'Tabla Impacto'!$F$223&amp;"Por favor no seleccionar los criterios de impacto(Afectación Económica o presupuestal y Pérdida Reputacional)",J10)</f>
        <v>❌Por favor no seleccionar los criterios de impacto(Afectación Económica o presupuestal y Pérdida Reputacional)</v>
      </c>
      <c r="L10" s="145" t="s">
        <v>217</v>
      </c>
      <c r="M10" s="153">
        <f>IF(L10="","",IF(L10="Leve",0.2,IF(L10="Menor",0.4,IF(L10="Moderado",0.6,IF(L10="Mayor",0.8,IF(L10="Catastrófico",1,))))))</f>
        <v>0.6</v>
      </c>
      <c r="N10" s="151" t="s">
        <v>217</v>
      </c>
      <c r="O10" s="125">
        <v>1</v>
      </c>
      <c r="P10" s="157" t="s">
        <v>233</v>
      </c>
      <c r="Q10" s="127" t="str">
        <f t="shared" ref="Q10:Q11" si="0">IF(OR(R10="Preventivo",R10="Detectivo"),"Probabilidad",IF(R10="Correctivo","Impacto",""))</f>
        <v>Impacto</v>
      </c>
      <c r="R10" s="128" t="s">
        <v>16</v>
      </c>
      <c r="S10" s="128" t="s">
        <v>9</v>
      </c>
      <c r="T10" s="129" t="str">
        <f>IF(AND(R10="Preventivo",S10="Automático"),"50%",IF(AND(R10="Preventivo",S10="Manual"),"40%",IF(AND(R10="Detectivo",S10="Automático"),"40%",IF(AND(R10="Detectivo",S10="Manual"),"30%",IF(AND(R10="Correctivo",S10="Automático"),"35%",IF(AND(R10="Correctivo",S10="Manual"),"25%",""))))))</f>
        <v>25%</v>
      </c>
      <c r="U10" s="128" t="s">
        <v>20</v>
      </c>
      <c r="V10" s="128" t="s">
        <v>22</v>
      </c>
      <c r="W10" s="128" t="s">
        <v>120</v>
      </c>
      <c r="X10" s="130">
        <f>IFERROR(IF(Q10="Probabilidad",(I10-(+I10*T10)),IF(Q10="Impacto",I10,"")),"")</f>
        <v>0.6</v>
      </c>
      <c r="Y10" s="131" t="str">
        <f>IFERROR(IF(X10="","",IF(X10&lt;=0.2,"Muy Baja",IF(X10&lt;=0.4,"Baja",IF(X10&lt;=0.6,"Media",IF(X10&lt;=0.8,"Alta","Muy Alta"))))),"")</f>
        <v>Media</v>
      </c>
      <c r="Z10" s="132">
        <f>+X10</f>
        <v>0.6</v>
      </c>
      <c r="AA10" s="131" t="str">
        <f>IFERROR(IF(AB10="","",IF(AB10&lt;=0.2,"Leve",IF(AB10&lt;=0.4,"Menor",IF(AB10&lt;=0.6,"Moderado",IF(AB10&lt;=0.8,"Mayor","Catastrófico"))))),"")</f>
        <v>Moderado</v>
      </c>
      <c r="AB10" s="132">
        <f>IFERROR(IF(Q10="Impacto",(M10-(+M10*T10)),IF(Q10="Probabilidad",M10,"")),"")</f>
        <v>0.44999999999999996</v>
      </c>
      <c r="AC10" s="133" t="str">
        <f>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4" t="s">
        <v>136</v>
      </c>
      <c r="AE10" s="157" t="s">
        <v>234</v>
      </c>
      <c r="AF10" s="158" t="s">
        <v>219</v>
      </c>
      <c r="AG10" s="158" t="s">
        <v>248</v>
      </c>
      <c r="AH10" s="137"/>
      <c r="AI10" s="135"/>
      <c r="AJ10" s="13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243" customHeight="1" x14ac:dyDescent="0.3">
      <c r="A11" s="148">
        <v>2</v>
      </c>
      <c r="B11" s="160" t="s">
        <v>132</v>
      </c>
      <c r="C11" s="161"/>
      <c r="D11" s="161" t="s">
        <v>224</v>
      </c>
      <c r="E11" s="162" t="s">
        <v>223</v>
      </c>
      <c r="F11" s="161" t="s">
        <v>123</v>
      </c>
      <c r="G11" s="163" t="s">
        <v>220</v>
      </c>
      <c r="H11" s="164" t="s">
        <v>225</v>
      </c>
      <c r="I11" s="165">
        <v>0.3</v>
      </c>
      <c r="J11" s="166" t="s">
        <v>57</v>
      </c>
      <c r="K11" s="165" t="str">
        <f>IF(NOT(ISERROR(MATCH(J11,_xlfn.ANCHORARRAY(#REF!),0))),#REF!&amp;"Por favor no seleccionar los criterios de impacto",J11)</f>
        <v>Pérdida Reputacional</v>
      </c>
      <c r="L11" s="167" t="s">
        <v>217</v>
      </c>
      <c r="M11" s="165">
        <v>0.4</v>
      </c>
      <c r="N11" s="168" t="s">
        <v>217</v>
      </c>
      <c r="O11" s="159">
        <v>2</v>
      </c>
      <c r="P11" s="169" t="s">
        <v>226</v>
      </c>
      <c r="Q11" s="127" t="str">
        <f t="shared" si="0"/>
        <v>Probabilidad</v>
      </c>
      <c r="R11" s="128" t="s">
        <v>14</v>
      </c>
      <c r="S11" s="128" t="s">
        <v>9</v>
      </c>
      <c r="T11" s="129" t="str">
        <f t="shared" ref="T11" si="1">IF(AND(R11="Preventivo",S11="Automático"),"50%",IF(AND(R11="Preventivo",S11="Manual"),"40%",IF(AND(R11="Detectivo",S11="Automático"),"40%",IF(AND(R11="Detectivo",S11="Manual"),"30%",IF(AND(R11="Correctivo",S11="Automático"),"35%",IF(AND(R11="Correctivo",S11="Manual"),"25%",""))))))</f>
        <v>40%</v>
      </c>
      <c r="U11" s="128" t="s">
        <v>20</v>
      </c>
      <c r="V11" s="128" t="s">
        <v>22</v>
      </c>
      <c r="W11" s="128" t="s">
        <v>120</v>
      </c>
      <c r="X11" s="139" t="str">
        <f>IFERROR(IF(AND(#REF!="Probabilidad",Q11="Probabilidad"),(#REF!-(+#REF!*T11)),IF(Q11="Probabilidad",(#REF!-(+#REF!*T11)),IF(Q11="Impacto",#REF!,""))),"")</f>
        <v/>
      </c>
      <c r="Y11" s="131" t="s">
        <v>225</v>
      </c>
      <c r="Z11" s="132" t="str">
        <f t="shared" ref="Z11" si="2">+X11</f>
        <v/>
      </c>
      <c r="AA11" s="170" t="s">
        <v>227</v>
      </c>
      <c r="AB11" s="140" t="str">
        <f>IFERROR(IF(AND(#REF!="Impacto",Q11="Impacto"),(#REF!-(+#REF!*T11)),IF(Q11="Impacto",(#REF!-(+#REF!*T11)),IF(Q11="Probabilidad",#REF!,""))),"")</f>
        <v/>
      </c>
      <c r="AC11" s="133" t="s">
        <v>217</v>
      </c>
      <c r="AD11" s="134" t="s">
        <v>136</v>
      </c>
      <c r="AE11" s="169" t="s">
        <v>236</v>
      </c>
      <c r="AF11" s="158" t="s">
        <v>222</v>
      </c>
      <c r="AG11" s="158" t="s">
        <v>248</v>
      </c>
      <c r="AH11" s="137"/>
      <c r="AI11" s="135"/>
      <c r="AJ11" s="136"/>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251.25" customHeight="1" x14ac:dyDescent="0.3">
      <c r="A12" s="147">
        <v>3</v>
      </c>
      <c r="B12" s="141" t="s">
        <v>132</v>
      </c>
      <c r="C12" s="142"/>
      <c r="D12" s="142" t="s">
        <v>237</v>
      </c>
      <c r="E12" s="150" t="s">
        <v>238</v>
      </c>
      <c r="F12" s="142" t="s">
        <v>123</v>
      </c>
      <c r="G12" s="144" t="s">
        <v>220</v>
      </c>
      <c r="H12" s="146" t="s">
        <v>221</v>
      </c>
      <c r="I12" s="154">
        <f>IF(H12="","",IF(H12="Muy Baja",0.2,IF(H12="Baja",0.4,IF(H12="Media",0.6,IF(H12="Alta",0.8,IF(H12="Muy Alta",1,))))))</f>
        <v>0.8</v>
      </c>
      <c r="J12" s="156"/>
      <c r="K12" s="154">
        <f>IF(NOT(ISERROR(MATCH(J12,'Tabla Impacto'!$B$221:$B$223,0))),'Tabla Impacto'!$F$223&amp;"Por favor no seleccionar los criterios de impacto(Afectación Económica o presupuestal y Pérdida Reputacional)",J12)</f>
        <v>0</v>
      </c>
      <c r="L12" s="146" t="s">
        <v>228</v>
      </c>
      <c r="M12" s="154">
        <f>IF(L12="","",IF(L12="Leve",0.2,IF(L12="Menor",0.4,IF(L12="Moderado",0.6,IF(L12="Mayor",0.8,IF(L12="Catastrófico",1,))))))</f>
        <v>0.8</v>
      </c>
      <c r="N12" s="152"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Alto</v>
      </c>
      <c r="O12" s="125">
        <v>1</v>
      </c>
      <c r="P12" s="169" t="s">
        <v>229</v>
      </c>
      <c r="Q12" s="127" t="str">
        <f>IF(OR(R12="Preventivo",R12="Detectivo"),"Probabilidad",IF(R12="Correctivo","Impacto",""))</f>
        <v>Probabilidad</v>
      </c>
      <c r="R12" s="128" t="s">
        <v>14</v>
      </c>
      <c r="S12" s="128" t="s">
        <v>9</v>
      </c>
      <c r="T12" s="129" t="str">
        <f>IF(AND(R12="Preventivo",S12="Automático"),"50%",IF(AND(R12="Preventivo",S12="Manual"),"40%",IF(AND(R12="Detectivo",S12="Automático"),"40%",IF(AND(R12="Detectivo",S12="Manual"),"30%",IF(AND(R12="Correctivo",S12="Automático"),"35%",IF(AND(R12="Correctivo",S12="Manual"),"25%",""))))))</f>
        <v>40%</v>
      </c>
      <c r="U12" s="128" t="s">
        <v>20</v>
      </c>
      <c r="V12" s="128" t="s">
        <v>22</v>
      </c>
      <c r="W12" s="128" t="s">
        <v>120</v>
      </c>
      <c r="X12" s="130">
        <f>IFERROR(IF(Q12="Probabilidad",(I12-(+I12*T12)),IF(Q12="Impacto",I12,"")),"")</f>
        <v>0.48</v>
      </c>
      <c r="Y12" s="131" t="str">
        <f>IFERROR(IF(X12="","",IF(X12&lt;=0.2,"Muy Baja",IF(X12&lt;=0.4,"Baja",IF(X12&lt;=0.6,"Media",IF(X12&lt;=0.8,"Alta","Muy Alta"))))),"")</f>
        <v>Media</v>
      </c>
      <c r="Z12" s="132">
        <f>+X12</f>
        <v>0.48</v>
      </c>
      <c r="AA12" s="131" t="str">
        <f>IFERROR(IF(AB12="","",IF(AB12&lt;=0.2,"Leve",IF(AB12&lt;=0.4,"Menor",IF(AB12&lt;=0.6,"Moderado",IF(AB12&lt;=0.8,"Mayor","Catastrófico"))))),"")</f>
        <v>Mayor</v>
      </c>
      <c r="AB12" s="140">
        <f>IFERROR(IF(Q12="Impacto",(M12-(+M12*T12)),IF(Q12="Probabilidad",M12,"")),"")</f>
        <v>0.8</v>
      </c>
      <c r="AC12" s="133"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Alto</v>
      </c>
      <c r="AD12" s="134" t="s">
        <v>136</v>
      </c>
      <c r="AE12" s="169" t="s">
        <v>230</v>
      </c>
      <c r="AF12" s="158" t="s">
        <v>222</v>
      </c>
      <c r="AG12" s="158" t="s">
        <v>248</v>
      </c>
      <c r="AH12" s="137"/>
      <c r="AI12" s="135"/>
      <c r="AJ12" s="136"/>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35.25" customHeight="1" x14ac:dyDescent="0.3">
      <c r="A13" s="247">
        <v>4</v>
      </c>
      <c r="B13" s="219" t="s">
        <v>134</v>
      </c>
      <c r="C13" s="219"/>
      <c r="D13" s="219" t="s">
        <v>241</v>
      </c>
      <c r="E13" s="250" t="s">
        <v>242</v>
      </c>
      <c r="F13" s="219" t="s">
        <v>129</v>
      </c>
      <c r="G13" s="253" t="s">
        <v>220</v>
      </c>
      <c r="H13" s="256" t="s">
        <v>218</v>
      </c>
      <c r="I13" s="241">
        <f>IF(H13="","",IF(H13="Muy Baja",0.2,IF(H13="Baja",0.4,IF(H13="Media",0.6,IF(H13="Alta",0.8,IF(H13="Muy Alta",1,))))))</f>
        <v>0.6</v>
      </c>
      <c r="J13" s="259" t="s">
        <v>153</v>
      </c>
      <c r="K13" s="241" t="str">
        <f>IF(NOT(ISERROR(MATCH(J13,'Tabla Impacto'!$B$221:$B$223,0))),'Tabla Impacto'!$F$223&amp;"Por favor no seleccionar los criterios de impacto(Afectación Económica o presupuestal y Pérdida Reputacional)",J13)</f>
        <v xml:space="preserve">     El riesgo afecta la imagen de alguna área de la organización</v>
      </c>
      <c r="L13" s="256" t="s">
        <v>217</v>
      </c>
      <c r="M13" s="241">
        <f>IF(L13="","",IF(L13="Leve",0.2,IF(L13="Menor",0.4,IF(L13="Moderado",0.6,IF(L13="Mayor",0.8,IF(L13="Catastrófico",1,))))))</f>
        <v>0.6</v>
      </c>
      <c r="N13" s="244" t="str">
        <f>IF(OR(AND(H13="Muy Baja",L13="Leve"),AND(H13="Muy Baja",L13="Menor"),AND(H13="Baja",L13="Leve")),"Bajo",IF(OR(AND(H13="Muy baja",L13="Moderado"),AND(H13="Baja",L13="Menor"),AND(H13="Baja",L13="Moderado"),AND(H13="Media",L13="Leve"),AND(H13="Media",L13="Menor"),AND(H13="Media",L13="Moderado"),AND(H13="Alta",L13="Leve"),AND(H13="Alta",L13="Menor")),"Moderado",IF(OR(AND(H13="Muy Baja",L13="Mayor"),AND(H13="Baja",L13="Mayor"),AND(H13="Media",L13="Mayor"),AND(H13="Alta",L13="Moderado"),AND(H13="Alta",L13="Mayor"),AND(H13="Muy Alta",L13="Leve"),AND(H13="Muy Alta",L13="Menor"),AND(H13="Muy Alta",L13="Moderado"),AND(H13="Muy Alta",L13="Mayor")),"Alto",IF(OR(AND(H13="Muy Baja",L13="Catastrófico"),AND(H13="Baja",L13="Catastrófico"),AND(H13="Media",L13="Catastrófico"),AND(H13="Alta",L13="Catastrófico"),AND(H13="Muy Alta",L13="Catastrófico")),"Extremo",""))))</f>
        <v>Moderado</v>
      </c>
      <c r="O13" s="247">
        <v>1</v>
      </c>
      <c r="P13" s="275" t="s">
        <v>239</v>
      </c>
      <c r="Q13" s="278" t="str">
        <f>IF(OR(R13="Preventivo",R13="Detectivo"),"Probabilidad",IF(R13="Correctivo","Impacto",""))</f>
        <v>Probabilidad</v>
      </c>
      <c r="R13" s="216" t="s">
        <v>14</v>
      </c>
      <c r="S13" s="216" t="s">
        <v>9</v>
      </c>
      <c r="T13" s="222" t="str">
        <f>IF(AND(R13="Preventivo",S13="Automático"),"50%",IF(AND(R13="Preventivo",S13="Manual"),"40%",IF(AND(R13="Detectivo",S13="Automático"),"40%",IF(AND(R13="Detectivo",S13="Manual"),"30%",IF(AND(R13="Correctivo",S13="Automático"),"35%",IF(AND(R13="Correctivo",S13="Manual"),"25%",""))))))</f>
        <v>40%</v>
      </c>
      <c r="U13" s="216" t="s">
        <v>20</v>
      </c>
      <c r="V13" s="216" t="s">
        <v>22</v>
      </c>
      <c r="W13" s="216" t="s">
        <v>120</v>
      </c>
      <c r="X13" s="130">
        <f>IFERROR(IF(Q13="Probabilidad",(I13-(+I13*T13)),IF(Q13="Impacto",I13,"")),"")</f>
        <v>0.36</v>
      </c>
      <c r="Y13" s="225" t="str">
        <f>IFERROR(IF(X13="","",IF(X13&lt;=0.2,"Muy Baja",IF(X13&lt;=0.4,"Baja",IF(X13&lt;=0.6,"Media",IF(X13&lt;=0.8,"Alta","Muy Alta"))))),"")</f>
        <v>Baja</v>
      </c>
      <c r="Z13" s="222">
        <f>+X13</f>
        <v>0.36</v>
      </c>
      <c r="AA13" s="225" t="str">
        <f>IFERROR(IF(AB13="","",IF(AB13&lt;=0.2,"Leve",IF(AB13&lt;=0.4,"Menor",IF(AB13&lt;=0.6,"Moderado",IF(AB13&lt;=0.8,"Mayor","Catastrófico"))))),"")</f>
        <v>Moderado</v>
      </c>
      <c r="AB13" s="210">
        <f>IFERROR(IF(Q13="Impacto",(M13-(+M13*T13)),IF(Q13="Probabilidad",M13,"")),"")</f>
        <v>0.6</v>
      </c>
      <c r="AC13" s="213"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Moderado</v>
      </c>
      <c r="AD13" s="216" t="s">
        <v>136</v>
      </c>
      <c r="AE13" s="228" t="s">
        <v>243</v>
      </c>
      <c r="AF13" s="228" t="s">
        <v>240</v>
      </c>
      <c r="AG13" s="158" t="s">
        <v>248</v>
      </c>
      <c r="AH13" s="137"/>
      <c r="AI13" s="135"/>
      <c r="AJ13" s="136"/>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35.25" customHeight="1" x14ac:dyDescent="0.3">
      <c r="A14" s="248"/>
      <c r="B14" s="220"/>
      <c r="C14" s="220"/>
      <c r="D14" s="220"/>
      <c r="E14" s="251"/>
      <c r="F14" s="220"/>
      <c r="G14" s="254"/>
      <c r="H14" s="257"/>
      <c r="I14" s="242"/>
      <c r="J14" s="260"/>
      <c r="K14" s="242">
        <f t="shared" ref="K14:K18" si="3">IF(NOT(ISERROR(MATCH(J14,_xlfn.ANCHORARRAY(E25),0))),I27&amp;"Por favor no seleccionar los criterios de impacto",J14)</f>
        <v>0</v>
      </c>
      <c r="L14" s="257"/>
      <c r="M14" s="242"/>
      <c r="N14" s="245"/>
      <c r="O14" s="248"/>
      <c r="P14" s="276"/>
      <c r="Q14" s="279"/>
      <c r="R14" s="217"/>
      <c r="S14" s="217"/>
      <c r="T14" s="223"/>
      <c r="U14" s="217"/>
      <c r="V14" s="217"/>
      <c r="W14" s="217"/>
      <c r="X14" s="130" t="str">
        <f>IFERROR(IF(AND(Q13="Probabilidad",Q14="Probabilidad"),(Z13-(+Z13*T14)),IF(Q14="Probabilidad",(I13-(+I13*T14)),IF(Q14="Impacto",Z13,""))),"")</f>
        <v/>
      </c>
      <c r="Y14" s="226"/>
      <c r="Z14" s="223"/>
      <c r="AA14" s="226"/>
      <c r="AB14" s="211"/>
      <c r="AC14" s="214"/>
      <c r="AD14" s="217"/>
      <c r="AE14" s="220"/>
      <c r="AF14" s="220"/>
      <c r="AG14" s="158"/>
      <c r="AH14" s="137"/>
      <c r="AI14" s="135"/>
      <c r="AJ14" s="136"/>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35.25" customHeight="1" x14ac:dyDescent="0.3">
      <c r="A15" s="248"/>
      <c r="B15" s="220"/>
      <c r="C15" s="220"/>
      <c r="D15" s="220"/>
      <c r="E15" s="251"/>
      <c r="F15" s="220"/>
      <c r="G15" s="254"/>
      <c r="H15" s="257"/>
      <c r="I15" s="242"/>
      <c r="J15" s="260"/>
      <c r="K15" s="242">
        <f t="shared" si="3"/>
        <v>0</v>
      </c>
      <c r="L15" s="257"/>
      <c r="M15" s="242"/>
      <c r="N15" s="245"/>
      <c r="O15" s="248"/>
      <c r="P15" s="276"/>
      <c r="Q15" s="279"/>
      <c r="R15" s="217"/>
      <c r="S15" s="217"/>
      <c r="T15" s="223"/>
      <c r="U15" s="217"/>
      <c r="V15" s="217"/>
      <c r="W15" s="217"/>
      <c r="X15" s="130" t="str">
        <f>IFERROR(IF(AND(Q14="Probabilidad",Q15="Probabilidad"),(Z14-(+Z14*T15)),IF(AND(Q14="Impacto",Q15="Probabilidad"),(Z13-(+Z13*T15)),IF(Q15="Impacto",Z14,""))),"")</f>
        <v/>
      </c>
      <c r="Y15" s="226"/>
      <c r="Z15" s="223"/>
      <c r="AA15" s="226"/>
      <c r="AB15" s="211"/>
      <c r="AC15" s="214"/>
      <c r="AD15" s="217"/>
      <c r="AE15" s="220"/>
      <c r="AF15" s="220"/>
      <c r="AG15" s="158"/>
      <c r="AH15" s="137"/>
      <c r="AI15" s="135"/>
      <c r="AJ15" s="136"/>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35.25" customHeight="1" x14ac:dyDescent="0.3">
      <c r="A16" s="248"/>
      <c r="B16" s="220"/>
      <c r="C16" s="220"/>
      <c r="D16" s="220"/>
      <c r="E16" s="251"/>
      <c r="F16" s="220"/>
      <c r="G16" s="254"/>
      <c r="H16" s="257"/>
      <c r="I16" s="242"/>
      <c r="J16" s="260"/>
      <c r="K16" s="242">
        <f t="shared" si="3"/>
        <v>0</v>
      </c>
      <c r="L16" s="257"/>
      <c r="M16" s="242"/>
      <c r="N16" s="245"/>
      <c r="O16" s="248"/>
      <c r="P16" s="276"/>
      <c r="Q16" s="279"/>
      <c r="R16" s="217"/>
      <c r="S16" s="217"/>
      <c r="T16" s="223"/>
      <c r="U16" s="217"/>
      <c r="V16" s="217"/>
      <c r="W16" s="217"/>
      <c r="X16" s="130" t="str">
        <f t="shared" ref="X16:X18" si="4">IFERROR(IF(AND(Q15="Probabilidad",Q16="Probabilidad"),(Z15-(+Z15*T16)),IF(AND(Q15="Impacto",Q16="Probabilidad"),(Z14-(+Z14*T16)),IF(Q16="Impacto",Z15,""))),"")</f>
        <v/>
      </c>
      <c r="Y16" s="226"/>
      <c r="Z16" s="223"/>
      <c r="AA16" s="226"/>
      <c r="AB16" s="211"/>
      <c r="AC16" s="214"/>
      <c r="AD16" s="217"/>
      <c r="AE16" s="220"/>
      <c r="AF16" s="220"/>
      <c r="AG16" s="158"/>
      <c r="AH16" s="137"/>
      <c r="AI16" s="135"/>
      <c r="AJ16" s="136"/>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35.25" customHeight="1" x14ac:dyDescent="0.3">
      <c r="A17" s="248"/>
      <c r="B17" s="220"/>
      <c r="C17" s="220"/>
      <c r="D17" s="220"/>
      <c r="E17" s="251"/>
      <c r="F17" s="220"/>
      <c r="G17" s="254"/>
      <c r="H17" s="257"/>
      <c r="I17" s="242"/>
      <c r="J17" s="260"/>
      <c r="K17" s="242">
        <f t="shared" si="3"/>
        <v>0</v>
      </c>
      <c r="L17" s="257"/>
      <c r="M17" s="242"/>
      <c r="N17" s="245"/>
      <c r="O17" s="248"/>
      <c r="P17" s="276"/>
      <c r="Q17" s="279"/>
      <c r="R17" s="217"/>
      <c r="S17" s="217"/>
      <c r="T17" s="223"/>
      <c r="U17" s="217"/>
      <c r="V17" s="217"/>
      <c r="W17" s="217"/>
      <c r="X17" s="130" t="str">
        <f t="shared" si="4"/>
        <v/>
      </c>
      <c r="Y17" s="226"/>
      <c r="Z17" s="223"/>
      <c r="AA17" s="226"/>
      <c r="AB17" s="211"/>
      <c r="AC17" s="214"/>
      <c r="AD17" s="217"/>
      <c r="AE17" s="220"/>
      <c r="AF17" s="220"/>
      <c r="AG17" s="158"/>
      <c r="AH17" s="137"/>
      <c r="AI17" s="135"/>
      <c r="AJ17" s="136"/>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47.75" customHeight="1" x14ac:dyDescent="0.3">
      <c r="A18" s="249"/>
      <c r="B18" s="221"/>
      <c r="C18" s="221"/>
      <c r="D18" s="221"/>
      <c r="E18" s="252"/>
      <c r="F18" s="221"/>
      <c r="G18" s="255"/>
      <c r="H18" s="258"/>
      <c r="I18" s="243"/>
      <c r="J18" s="261"/>
      <c r="K18" s="243">
        <f t="shared" si="3"/>
        <v>0</v>
      </c>
      <c r="L18" s="258"/>
      <c r="M18" s="243"/>
      <c r="N18" s="246"/>
      <c r="O18" s="249"/>
      <c r="P18" s="277"/>
      <c r="Q18" s="280"/>
      <c r="R18" s="218"/>
      <c r="S18" s="218"/>
      <c r="T18" s="224"/>
      <c r="U18" s="218"/>
      <c r="V18" s="218"/>
      <c r="W18" s="218"/>
      <c r="X18" s="130" t="str">
        <f t="shared" si="4"/>
        <v/>
      </c>
      <c r="Y18" s="227"/>
      <c r="Z18" s="224"/>
      <c r="AA18" s="227"/>
      <c r="AB18" s="212"/>
      <c r="AC18" s="215"/>
      <c r="AD18" s="218"/>
      <c r="AE18" s="221"/>
      <c r="AF18" s="221"/>
      <c r="AG18" s="158"/>
      <c r="AH18" s="137"/>
      <c r="AI18" s="135"/>
      <c r="AJ18" s="136"/>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35.25" customHeight="1" x14ac:dyDescent="0.3">
      <c r="A19" s="247">
        <v>5</v>
      </c>
      <c r="B19" s="219" t="s">
        <v>132</v>
      </c>
      <c r="C19" s="219" t="s">
        <v>244</v>
      </c>
      <c r="D19" s="219"/>
      <c r="E19" s="250" t="s">
        <v>245</v>
      </c>
      <c r="F19" s="219" t="s">
        <v>123</v>
      </c>
      <c r="G19" s="253" t="s">
        <v>220</v>
      </c>
      <c r="H19" s="256" t="str">
        <f>IF(G19&lt;=0,"",IF(G19&lt;=2,"Muy Baja",IF(G19&lt;=24,"Baja",IF(G19&lt;=500,"Media",IF(G19&lt;=5000,"Alta","Muy Alta")))))</f>
        <v>Muy Alta</v>
      </c>
      <c r="I19" s="241">
        <f>IF(H19="","",IF(H19="Muy Baja",0.2,IF(H19="Baja",0.4,IF(H19="Media",0.6,IF(H19="Alta",0.8,IF(H19="Muy Alta",1,))))))</f>
        <v>1</v>
      </c>
      <c r="J19" s="259" t="s">
        <v>154</v>
      </c>
      <c r="K19" s="241" t="str">
        <f>IF(NOT(ISERROR(MATCH(J19,'Tabla Impacto'!$B$221:$B$223,0))),'Tabla Impacto'!$F$223&amp;"Por favor no seleccionar los criterios de impacto(Afectación Económica o presupuestal y Pérdida Reputacional)",J19)</f>
        <v xml:space="preserve">     El riesgo afecta la imagen de la entidad internamente, de conocimiento general, nivel interno, de junta dircetiva y accionistas y/o de provedores</v>
      </c>
      <c r="L19" s="256" t="str">
        <f>IF(OR(K19='Tabla Impacto'!$C$11,K19='Tabla Impacto'!$D$11),"Leve",IF(OR(K19='Tabla Impacto'!$C$12,K19='Tabla Impacto'!$D$12),"Menor",IF(OR(K19='Tabla Impacto'!$C$13,K19='Tabla Impacto'!$D$13),"Moderado",IF(OR(K19='Tabla Impacto'!$C$14,K19='Tabla Impacto'!$D$14),"Mayor",IF(OR(K19='Tabla Impacto'!$C$15,K19='Tabla Impacto'!$D$15),"Catastrófico","")))))</f>
        <v>Menor</v>
      </c>
      <c r="M19" s="241">
        <f>IF(L19="","",IF(L19="Leve",0.2,IF(L19="Menor",0.4,IF(L19="Moderado",0.6,IF(L19="Mayor",0.8,IF(L19="Catastrófico",1,))))))</f>
        <v>0.4</v>
      </c>
      <c r="N19" s="244" t="str">
        <f>IF(OR(AND(H19="Muy Baja",L19="Leve"),AND(H19="Muy Baja",L19="Menor"),AND(H19="Baja",L19="Leve")),"Bajo",IF(OR(AND(H19="Muy baja",L19="Moderado"),AND(H19="Baja",L19="Menor"),AND(H19="Baja",L19="Moderado"),AND(H19="Media",L19="Leve"),AND(H19="Media",L19="Menor"),AND(H19="Media",L19="Moderado"),AND(H19="Alta",L19="Leve"),AND(H19="Alta",L19="Menor")),"Moderado",IF(OR(AND(H19="Muy Baja",L19="Mayor"),AND(H19="Baja",L19="Mayor"),AND(H19="Media",L19="Mayor"),AND(H19="Alta",L19="Moderado"),AND(H19="Alta",L19="Mayor"),AND(H19="Muy Alta",L19="Leve"),AND(H19="Muy Alta",L19="Menor"),AND(H19="Muy Alta",L19="Moderado"),AND(H19="Muy Alta",L19="Mayor")),"Alto",IF(OR(AND(H19="Muy Baja",L19="Catastrófico"),AND(H19="Baja",L19="Catastrófico"),AND(H19="Media",L19="Catastrófico"),AND(H19="Alta",L19="Catastrófico"),AND(H19="Muy Alta",L19="Catastrófico")),"Extremo",""))))</f>
        <v>Alto</v>
      </c>
      <c r="O19" s="247">
        <v>1</v>
      </c>
      <c r="P19" s="281" t="s">
        <v>246</v>
      </c>
      <c r="Q19" s="278" t="str">
        <f>IF(OR(R19="Preventivo",R19="Detectivo"),"Probabilidad",IF(R19="Correctivo","Impacto",""))</f>
        <v>Probabilidad</v>
      </c>
      <c r="R19" s="216" t="s">
        <v>14</v>
      </c>
      <c r="S19" s="216" t="s">
        <v>9</v>
      </c>
      <c r="T19" s="222" t="str">
        <f>IF(AND(R19="Preventivo",S19="Automático"),"50%",IF(AND(R19="Preventivo",S19="Manual"),"40%",IF(AND(R19="Detectivo",S19="Automático"),"40%",IF(AND(R19="Detectivo",S19="Manual"),"30%",IF(AND(R19="Correctivo",S19="Automático"),"35%",IF(AND(R19="Correctivo",S19="Manual"),"25%",""))))))</f>
        <v>40%</v>
      </c>
      <c r="U19" s="216" t="s">
        <v>20</v>
      </c>
      <c r="V19" s="216" t="s">
        <v>22</v>
      </c>
      <c r="W19" s="216" t="s">
        <v>120</v>
      </c>
      <c r="X19" s="130">
        <f>IFERROR(IF(Q19="Probabilidad",(I19-(+I19*T19)),IF(Q19="Impacto",I19,"")),"")</f>
        <v>0.6</v>
      </c>
      <c r="Y19" s="225" t="str">
        <f>IFERROR(IF(X19="","",IF(X19&lt;=0.2,"Muy Baja",IF(X19&lt;=0.4,"Baja",IF(X19&lt;=0.6,"Media",IF(X19&lt;=0.8,"Alta","Muy Alta"))))),"")</f>
        <v>Media</v>
      </c>
      <c r="Z19" s="222">
        <f>+X19</f>
        <v>0.6</v>
      </c>
      <c r="AA19" s="225" t="str">
        <f>IFERROR(IF(AB19="","",IF(AB19&lt;=0.2,"Leve",IF(AB19&lt;=0.4,"Menor",IF(AB19&lt;=0.6,"Moderado",IF(AB19&lt;=0.8,"Mayor","Catastrófico"))))),"")</f>
        <v>Menor</v>
      </c>
      <c r="AB19" s="210">
        <f>IFERROR(IF(Q19="Impacto",(M19-(+M19*T19)),IF(Q19="Probabilidad",M19,"")),"")</f>
        <v>0.4</v>
      </c>
      <c r="AC19" s="213"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Moderado</v>
      </c>
      <c r="AD19" s="216" t="s">
        <v>136</v>
      </c>
      <c r="AE19" s="219" t="s">
        <v>247</v>
      </c>
      <c r="AF19" s="219" t="s">
        <v>240</v>
      </c>
      <c r="AG19" s="158" t="s">
        <v>248</v>
      </c>
      <c r="AH19" s="137"/>
      <c r="AI19" s="135"/>
      <c r="AJ19" s="136"/>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35.25" customHeight="1" x14ac:dyDescent="0.3">
      <c r="A20" s="248"/>
      <c r="B20" s="220"/>
      <c r="C20" s="220"/>
      <c r="D20" s="220"/>
      <c r="E20" s="251"/>
      <c r="F20" s="220"/>
      <c r="G20" s="254"/>
      <c r="H20" s="257"/>
      <c r="I20" s="242"/>
      <c r="J20" s="260"/>
      <c r="K20" s="242">
        <f t="shared" ref="K20:K24" si="5">IF(NOT(ISERROR(MATCH(J20,_xlfn.ANCHORARRAY(E31),0))),I33&amp;"Por favor no seleccionar los criterios de impacto",J20)</f>
        <v>0</v>
      </c>
      <c r="L20" s="257"/>
      <c r="M20" s="242"/>
      <c r="N20" s="245"/>
      <c r="O20" s="248"/>
      <c r="P20" s="276"/>
      <c r="Q20" s="279"/>
      <c r="R20" s="217"/>
      <c r="S20" s="217"/>
      <c r="T20" s="223"/>
      <c r="U20" s="217"/>
      <c r="V20" s="217"/>
      <c r="W20" s="217"/>
      <c r="X20" s="130" t="str">
        <f>IFERROR(IF(AND(Q19="Probabilidad",Q20="Probabilidad"),(Z19-(+Z19*T20)),IF(Q20="Probabilidad",(I19-(+I19*T20)),IF(Q20="Impacto",Z19,""))),"")</f>
        <v/>
      </c>
      <c r="Y20" s="226"/>
      <c r="Z20" s="223"/>
      <c r="AA20" s="226"/>
      <c r="AB20" s="211"/>
      <c r="AC20" s="214"/>
      <c r="AD20" s="217"/>
      <c r="AE20" s="220"/>
      <c r="AF20" s="220"/>
      <c r="AG20" s="158"/>
      <c r="AH20" s="137"/>
      <c r="AI20" s="135"/>
      <c r="AJ20" s="136"/>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35.25" customHeight="1" x14ac:dyDescent="0.3">
      <c r="A21" s="248"/>
      <c r="B21" s="220"/>
      <c r="C21" s="220"/>
      <c r="D21" s="220"/>
      <c r="E21" s="251"/>
      <c r="F21" s="220"/>
      <c r="G21" s="254"/>
      <c r="H21" s="257"/>
      <c r="I21" s="242"/>
      <c r="J21" s="260"/>
      <c r="K21" s="242">
        <f t="shared" si="5"/>
        <v>0</v>
      </c>
      <c r="L21" s="257"/>
      <c r="M21" s="242"/>
      <c r="N21" s="245"/>
      <c r="O21" s="248"/>
      <c r="P21" s="276"/>
      <c r="Q21" s="279"/>
      <c r="R21" s="217"/>
      <c r="S21" s="217"/>
      <c r="T21" s="223"/>
      <c r="U21" s="217"/>
      <c r="V21" s="217"/>
      <c r="W21" s="217"/>
      <c r="X21" s="130" t="str">
        <f>IFERROR(IF(AND(Q20="Probabilidad",Q21="Probabilidad"),(Z20-(+Z20*T21)),IF(AND(Q20="Impacto",Q21="Probabilidad"),(Z19-(+Z19*T21)),IF(Q21="Impacto",Z20,""))),"")</f>
        <v/>
      </c>
      <c r="Y21" s="226"/>
      <c r="Z21" s="223"/>
      <c r="AA21" s="226"/>
      <c r="AB21" s="211"/>
      <c r="AC21" s="214"/>
      <c r="AD21" s="217"/>
      <c r="AE21" s="220"/>
      <c r="AF21" s="220"/>
      <c r="AG21" s="158"/>
      <c r="AH21" s="137"/>
      <c r="AI21" s="135"/>
      <c r="AJ21" s="136"/>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35.25" customHeight="1" x14ac:dyDescent="0.3">
      <c r="A22" s="248"/>
      <c r="B22" s="220"/>
      <c r="C22" s="220"/>
      <c r="D22" s="220"/>
      <c r="E22" s="251"/>
      <c r="F22" s="220"/>
      <c r="G22" s="254"/>
      <c r="H22" s="257"/>
      <c r="I22" s="242"/>
      <c r="J22" s="260"/>
      <c r="K22" s="242">
        <f t="shared" si="5"/>
        <v>0</v>
      </c>
      <c r="L22" s="257"/>
      <c r="M22" s="242"/>
      <c r="N22" s="245"/>
      <c r="O22" s="248"/>
      <c r="P22" s="276"/>
      <c r="Q22" s="279"/>
      <c r="R22" s="217"/>
      <c r="S22" s="217"/>
      <c r="T22" s="223"/>
      <c r="U22" s="217"/>
      <c r="V22" s="217"/>
      <c r="W22" s="217"/>
      <c r="X22" s="130" t="str">
        <f t="shared" ref="X22:X24" si="6">IFERROR(IF(AND(Q21="Probabilidad",Q22="Probabilidad"),(Z21-(+Z21*T22)),IF(AND(Q21="Impacto",Q22="Probabilidad"),(Z20-(+Z20*T22)),IF(Q22="Impacto",Z21,""))),"")</f>
        <v/>
      </c>
      <c r="Y22" s="226"/>
      <c r="Z22" s="223"/>
      <c r="AA22" s="226"/>
      <c r="AB22" s="211"/>
      <c r="AC22" s="214"/>
      <c r="AD22" s="217"/>
      <c r="AE22" s="220"/>
      <c r="AF22" s="220"/>
      <c r="AG22" s="158"/>
      <c r="AH22" s="137"/>
      <c r="AI22" s="135"/>
      <c r="AJ22" s="136"/>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35.25" customHeight="1" x14ac:dyDescent="0.3">
      <c r="A23" s="248"/>
      <c r="B23" s="220"/>
      <c r="C23" s="220"/>
      <c r="D23" s="220"/>
      <c r="E23" s="251"/>
      <c r="F23" s="220"/>
      <c r="G23" s="254"/>
      <c r="H23" s="257"/>
      <c r="I23" s="242"/>
      <c r="J23" s="260"/>
      <c r="K23" s="242">
        <f t="shared" si="5"/>
        <v>0</v>
      </c>
      <c r="L23" s="257"/>
      <c r="M23" s="242"/>
      <c r="N23" s="245"/>
      <c r="O23" s="248"/>
      <c r="P23" s="276"/>
      <c r="Q23" s="279"/>
      <c r="R23" s="217"/>
      <c r="S23" s="217"/>
      <c r="T23" s="223"/>
      <c r="U23" s="217"/>
      <c r="V23" s="217"/>
      <c r="W23" s="217"/>
      <c r="X23" s="130" t="str">
        <f t="shared" si="6"/>
        <v/>
      </c>
      <c r="Y23" s="226"/>
      <c r="Z23" s="223"/>
      <c r="AA23" s="226"/>
      <c r="AB23" s="211"/>
      <c r="AC23" s="214"/>
      <c r="AD23" s="217"/>
      <c r="AE23" s="220"/>
      <c r="AF23" s="220"/>
      <c r="AG23" s="158"/>
      <c r="AH23" s="137"/>
      <c r="AI23" s="135"/>
      <c r="AJ23" s="136"/>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99" customHeight="1" x14ac:dyDescent="0.3">
      <c r="A24" s="249"/>
      <c r="B24" s="221"/>
      <c r="C24" s="221"/>
      <c r="D24" s="221"/>
      <c r="E24" s="252"/>
      <c r="F24" s="221"/>
      <c r="G24" s="255"/>
      <c r="H24" s="258"/>
      <c r="I24" s="243"/>
      <c r="J24" s="261"/>
      <c r="K24" s="243">
        <f t="shared" si="5"/>
        <v>0</v>
      </c>
      <c r="L24" s="258"/>
      <c r="M24" s="243"/>
      <c r="N24" s="246"/>
      <c r="O24" s="249"/>
      <c r="P24" s="277"/>
      <c r="Q24" s="280"/>
      <c r="R24" s="218"/>
      <c r="S24" s="218"/>
      <c r="T24" s="224"/>
      <c r="U24" s="218"/>
      <c r="V24" s="218"/>
      <c r="W24" s="218"/>
      <c r="X24" s="130" t="str">
        <f t="shared" si="6"/>
        <v/>
      </c>
      <c r="Y24" s="227"/>
      <c r="Z24" s="224"/>
      <c r="AA24" s="227"/>
      <c r="AB24" s="212"/>
      <c r="AC24" s="215"/>
      <c r="AD24" s="218"/>
      <c r="AE24" s="221"/>
      <c r="AF24" s="221"/>
      <c r="AG24" s="158"/>
      <c r="AH24" s="137"/>
      <c r="AI24" s="135"/>
      <c r="AJ24" s="136"/>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35.25" customHeight="1" x14ac:dyDescent="0.3">
      <c r="A25" s="247">
        <v>8</v>
      </c>
      <c r="B25" s="219"/>
      <c r="C25" s="219"/>
      <c r="D25" s="219"/>
      <c r="E25" s="250"/>
      <c r="F25" s="219"/>
      <c r="G25" s="253"/>
      <c r="H25" s="256" t="str">
        <f>IF(G25&lt;=0,"",IF(G25&lt;=2,"Muy Baja",IF(G25&lt;=24,"Baja",IF(G25&lt;=500,"Media",IF(G25&lt;=5000,"Alta","Muy Alta")))))</f>
        <v/>
      </c>
      <c r="I25" s="241" t="str">
        <f>IF(H25="","",IF(H25="Muy Baja",0.2,IF(H25="Baja",0.4,IF(H25="Media",0.6,IF(H25="Alta",0.8,IF(H25="Muy Alta",1,))))))</f>
        <v/>
      </c>
      <c r="J25" s="259"/>
      <c r="K25" s="241">
        <f>IF(NOT(ISERROR(MATCH(J25,'Tabla Impacto'!$B$221:$B$223,0))),'Tabla Impacto'!$F$223&amp;"Por favor no seleccionar los criterios de impacto(Afectación Económica o presupuestal y Pérdida Reputacional)",J25)</f>
        <v>0</v>
      </c>
      <c r="L25" s="256" t="str">
        <f>IF(OR(K25='Tabla Impacto'!$C$11,K25='Tabla Impacto'!$D$11),"Leve",IF(OR(K25='Tabla Impacto'!$C$12,K25='Tabla Impacto'!$D$12),"Menor",IF(OR(K25='Tabla Impacto'!$C$13,K25='Tabla Impacto'!$D$13),"Moderado",IF(OR(K25='Tabla Impacto'!$C$14,K25='Tabla Impacto'!$D$14),"Mayor",IF(OR(K25='Tabla Impacto'!$C$15,K25='Tabla Impacto'!$D$15),"Catastrófico","")))))</f>
        <v/>
      </c>
      <c r="M25" s="241" t="str">
        <f>IF(L25="","",IF(L25="Leve",0.2,IF(L25="Menor",0.4,IF(L25="Moderado",0.6,IF(L25="Mayor",0.8,IF(L25="Catastrófico",1,))))))</f>
        <v/>
      </c>
      <c r="N25" s="244" t="str">
        <f>IF(OR(AND(H25="Muy Baja",L25="Leve"),AND(H25="Muy Baja",L25="Menor"),AND(H25="Baja",L25="Leve")),"Bajo",IF(OR(AND(H25="Muy baja",L25="Moderado"),AND(H25="Baja",L25="Menor"),AND(H25="Baja",L25="Moderado"),AND(H25="Media",L25="Leve"),AND(H25="Media",L25="Menor"),AND(H25="Media",L25="Moderado"),AND(H25="Alta",L25="Leve"),AND(H25="Alta",L25="Menor")),"Moderado",IF(OR(AND(H25="Muy Baja",L25="Mayor"),AND(H25="Baja",L25="Mayor"),AND(H25="Media",L25="Mayor"),AND(H25="Alta",L25="Moderado"),AND(H25="Alta",L25="Mayor"),AND(H25="Muy Alta",L25="Leve"),AND(H25="Muy Alta",L25="Menor"),AND(H25="Muy Alta",L25="Moderado"),AND(H25="Muy Alta",L25="Mayor")),"Alto",IF(OR(AND(H25="Muy Baja",L25="Catastrófico"),AND(H25="Baja",L25="Catastrófico"),AND(H25="Media",L25="Catastrófico"),AND(H25="Alta",L25="Catastrófico"),AND(H25="Muy Alta",L25="Catastrófico")),"Extremo",""))))</f>
        <v/>
      </c>
      <c r="O25" s="125">
        <v>1</v>
      </c>
      <c r="P25" s="126"/>
      <c r="Q25" s="127" t="str">
        <f>IF(OR(R25="Preventivo",R25="Detectivo"),"Probabilidad",IF(R25="Correctivo","Impacto",""))</f>
        <v/>
      </c>
      <c r="R25" s="128"/>
      <c r="S25" s="128"/>
      <c r="T25" s="129" t="str">
        <f>IF(AND(R25="Preventivo",S25="Automático"),"50%",IF(AND(R25="Preventivo",S25="Manual"),"40%",IF(AND(R25="Detectivo",S25="Automático"),"40%",IF(AND(R25="Detectivo",S25="Manual"),"30%",IF(AND(R25="Correctivo",S25="Automático"),"35%",IF(AND(R25="Correctivo",S25="Manual"),"25%",""))))))</f>
        <v/>
      </c>
      <c r="U25" s="128"/>
      <c r="V25" s="128"/>
      <c r="W25" s="128"/>
      <c r="X25" s="130" t="str">
        <f>IFERROR(IF(Q25="Probabilidad",(I25-(+I25*T25)),IF(Q25="Impacto",I25,"")),"")</f>
        <v/>
      </c>
      <c r="Y25" s="131" t="str">
        <f>IFERROR(IF(X25="","",IF(X25&lt;=0.2,"Muy Baja",IF(X25&lt;=0.4,"Baja",IF(X25&lt;=0.6,"Media",IF(X25&lt;=0.8,"Alta","Muy Alta"))))),"")</f>
        <v/>
      </c>
      <c r="Z25" s="132" t="str">
        <f>+X25</f>
        <v/>
      </c>
      <c r="AA25" s="131" t="str">
        <f>IFERROR(IF(AB25="","",IF(AB25&lt;=0.2,"Leve",IF(AB25&lt;=0.4,"Menor",IF(AB25&lt;=0.6,"Moderado",IF(AB25&lt;=0.8,"Mayor","Catastrófico"))))),"")</f>
        <v/>
      </c>
      <c r="AB25" s="140" t="str">
        <f>IFERROR(IF(Q25="Impacto",(M25-(+M25*T25)),IF(Q25="Probabilidad",M25,"")),"")</f>
        <v/>
      </c>
      <c r="AC25" s="133"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4"/>
      <c r="AE25" s="135"/>
      <c r="AF25" s="136"/>
      <c r="AG25" s="137"/>
      <c r="AH25" s="137"/>
      <c r="AI25" s="135"/>
      <c r="AJ25" s="136"/>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35.25" customHeight="1" x14ac:dyDescent="0.3">
      <c r="A26" s="248"/>
      <c r="B26" s="220"/>
      <c r="C26" s="220"/>
      <c r="D26" s="220"/>
      <c r="E26" s="251"/>
      <c r="F26" s="220"/>
      <c r="G26" s="254"/>
      <c r="H26" s="257"/>
      <c r="I26" s="242"/>
      <c r="J26" s="260"/>
      <c r="K26" s="242">
        <f>IF(NOT(ISERROR(MATCH(J26,_xlfn.ANCHORARRAY(E37),0))),I39&amp;"Por favor no seleccionar los criterios de impacto",J26)</f>
        <v>0</v>
      </c>
      <c r="L26" s="257"/>
      <c r="M26" s="242"/>
      <c r="N26" s="245"/>
      <c r="O26" s="125">
        <v>2</v>
      </c>
      <c r="P26" s="126"/>
      <c r="Q26" s="127" t="str">
        <f>IF(OR(R26="Preventivo",R26="Detectivo"),"Probabilidad",IF(R26="Correctivo","Impacto",""))</f>
        <v/>
      </c>
      <c r="R26" s="128"/>
      <c r="S26" s="128"/>
      <c r="T26" s="129" t="str">
        <f t="shared" ref="T26:T30" si="7">IF(AND(R26="Preventivo",S26="Automático"),"50%",IF(AND(R26="Preventivo",S26="Manual"),"40%",IF(AND(R26="Detectivo",S26="Automático"),"40%",IF(AND(R26="Detectivo",S26="Manual"),"30%",IF(AND(R26="Correctivo",S26="Automático"),"35%",IF(AND(R26="Correctivo",S26="Manual"),"25%",""))))))</f>
        <v/>
      </c>
      <c r="U26" s="128"/>
      <c r="V26" s="128"/>
      <c r="W26" s="128"/>
      <c r="X26" s="130" t="str">
        <f>IFERROR(IF(AND(Q25="Probabilidad",Q26="Probabilidad"),(Z25-(+Z25*T26)),IF(Q26="Probabilidad",(I25-(+I25*T26)),IF(Q26="Impacto",Z25,""))),"")</f>
        <v/>
      </c>
      <c r="Y26" s="131" t="str">
        <f t="shared" ref="Y26:Y42" si="8">IFERROR(IF(X26="","",IF(X26&lt;=0.2,"Muy Baja",IF(X26&lt;=0.4,"Baja",IF(X26&lt;=0.6,"Media",IF(X26&lt;=0.8,"Alta","Muy Alta"))))),"")</f>
        <v/>
      </c>
      <c r="Z26" s="132" t="str">
        <f t="shared" ref="Z26:Z30" si="9">+X26</f>
        <v/>
      </c>
      <c r="AA26" s="131" t="str">
        <f t="shared" ref="AA26:AA42" si="10">IFERROR(IF(AB26="","",IF(AB26&lt;=0.2,"Leve",IF(AB26&lt;=0.4,"Menor",IF(AB26&lt;=0.6,"Moderado",IF(AB26&lt;=0.8,"Mayor","Catastrófico"))))),"")</f>
        <v/>
      </c>
      <c r="AB26" s="140" t="str">
        <f>IFERROR(IF(AND(Q25="Impacto",Q26="Impacto"),(AB25-(+AB25*T26)),IF(Q26="Impacto",(M25-(+M25*T26)),IF(Q26="Probabilidad",AB25,""))),"")</f>
        <v/>
      </c>
      <c r="AC26" s="133" t="str">
        <f t="shared" ref="AC26:AC27" si="1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4"/>
      <c r="AE26" s="135"/>
      <c r="AF26" s="136"/>
      <c r="AG26" s="137"/>
      <c r="AH26" s="137"/>
      <c r="AI26" s="135"/>
      <c r="AJ26" s="136"/>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35.25" customHeight="1" x14ac:dyDescent="0.3">
      <c r="A27" s="248"/>
      <c r="B27" s="220"/>
      <c r="C27" s="220"/>
      <c r="D27" s="220"/>
      <c r="E27" s="251"/>
      <c r="F27" s="220"/>
      <c r="G27" s="254"/>
      <c r="H27" s="257"/>
      <c r="I27" s="242"/>
      <c r="J27" s="260"/>
      <c r="K27" s="242">
        <f>IF(NOT(ISERROR(MATCH(J27,_xlfn.ANCHORARRAY(E38),0))),I40&amp;"Por favor no seleccionar los criterios de impacto",J27)</f>
        <v>0</v>
      </c>
      <c r="L27" s="257"/>
      <c r="M27" s="242"/>
      <c r="N27" s="245"/>
      <c r="O27" s="125">
        <v>3</v>
      </c>
      <c r="P27" s="138"/>
      <c r="Q27" s="127" t="str">
        <f>IF(OR(R27="Preventivo",R27="Detectivo"),"Probabilidad",IF(R27="Correctivo","Impacto",""))</f>
        <v/>
      </c>
      <c r="R27" s="128"/>
      <c r="S27" s="128"/>
      <c r="T27" s="129" t="str">
        <f t="shared" si="7"/>
        <v/>
      </c>
      <c r="U27" s="128"/>
      <c r="V27" s="128"/>
      <c r="W27" s="128"/>
      <c r="X27" s="130" t="str">
        <f>IFERROR(IF(AND(Q26="Probabilidad",Q27="Probabilidad"),(Z26-(+Z26*T27)),IF(AND(Q26="Impacto",Q27="Probabilidad"),(Z25-(+Z25*T27)),IF(Q27="Impacto",Z26,""))),"")</f>
        <v/>
      </c>
      <c r="Y27" s="131" t="str">
        <f t="shared" si="8"/>
        <v/>
      </c>
      <c r="Z27" s="132" t="str">
        <f t="shared" si="9"/>
        <v/>
      </c>
      <c r="AA27" s="131" t="str">
        <f t="shared" si="10"/>
        <v/>
      </c>
      <c r="AB27" s="140" t="str">
        <f>IFERROR(IF(AND(Q26="Impacto",Q27="Impacto"),(AB26-(+AB26*T27)),IF(AND(Q26="Probabilidad",Q27="Impacto"),(AB25-(+AB25*T27)),IF(Q27="Probabilidad",AB26,""))),"")</f>
        <v/>
      </c>
      <c r="AC27" s="133" t="str">
        <f t="shared" si="11"/>
        <v/>
      </c>
      <c r="AD27" s="134"/>
      <c r="AE27" s="135"/>
      <c r="AF27" s="136"/>
      <c r="AG27" s="137"/>
      <c r="AH27" s="137"/>
      <c r="AI27" s="135"/>
      <c r="AJ27" s="136"/>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35.25" customHeight="1" x14ac:dyDescent="0.3">
      <c r="A28" s="248"/>
      <c r="B28" s="220"/>
      <c r="C28" s="220"/>
      <c r="D28" s="220"/>
      <c r="E28" s="251"/>
      <c r="F28" s="220"/>
      <c r="G28" s="254"/>
      <c r="H28" s="257"/>
      <c r="I28" s="242"/>
      <c r="J28" s="260"/>
      <c r="K28" s="242">
        <f>IF(NOT(ISERROR(MATCH(J28,_xlfn.ANCHORARRAY(E39),0))),I41&amp;"Por favor no seleccionar los criterios de impacto",J28)</f>
        <v>0</v>
      </c>
      <c r="L28" s="257"/>
      <c r="M28" s="242"/>
      <c r="N28" s="245"/>
      <c r="O28" s="125">
        <v>4</v>
      </c>
      <c r="P28" s="126"/>
      <c r="Q28" s="127" t="str">
        <f t="shared" ref="Q28:Q30" si="12">IF(OR(R28="Preventivo",R28="Detectivo"),"Probabilidad",IF(R28="Correctivo","Impacto",""))</f>
        <v/>
      </c>
      <c r="R28" s="128"/>
      <c r="S28" s="128"/>
      <c r="T28" s="129" t="str">
        <f t="shared" si="7"/>
        <v/>
      </c>
      <c r="U28" s="128"/>
      <c r="V28" s="128"/>
      <c r="W28" s="128"/>
      <c r="X28" s="130" t="str">
        <f t="shared" ref="X28:X30" si="13">IFERROR(IF(AND(Q27="Probabilidad",Q28="Probabilidad"),(Z27-(+Z27*T28)),IF(AND(Q27="Impacto",Q28="Probabilidad"),(Z26-(+Z26*T28)),IF(Q28="Impacto",Z27,""))),"")</f>
        <v/>
      </c>
      <c r="Y28" s="131" t="str">
        <f t="shared" si="8"/>
        <v/>
      </c>
      <c r="Z28" s="132" t="str">
        <f t="shared" si="9"/>
        <v/>
      </c>
      <c r="AA28" s="131" t="str">
        <f t="shared" si="10"/>
        <v/>
      </c>
      <c r="AB28" s="140" t="str">
        <f t="shared" ref="AB28:AB30" si="14">IFERROR(IF(AND(Q27="Impacto",Q28="Impacto"),(AB27-(+AB27*T28)),IF(AND(Q27="Probabilidad",Q28="Impacto"),(AB26-(+AB26*T28)),IF(Q28="Probabilidad",AB27,""))),"")</f>
        <v/>
      </c>
      <c r="AC28" s="133"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4"/>
      <c r="AE28" s="135"/>
      <c r="AF28" s="136"/>
      <c r="AG28" s="137"/>
      <c r="AH28" s="137"/>
      <c r="AI28" s="135"/>
      <c r="AJ28" s="136"/>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35.25" customHeight="1" x14ac:dyDescent="0.3">
      <c r="A29" s="248"/>
      <c r="B29" s="220"/>
      <c r="C29" s="220"/>
      <c r="D29" s="220"/>
      <c r="E29" s="251"/>
      <c r="F29" s="220"/>
      <c r="G29" s="254"/>
      <c r="H29" s="257"/>
      <c r="I29" s="242"/>
      <c r="J29" s="260"/>
      <c r="K29" s="242">
        <f>IF(NOT(ISERROR(MATCH(J29,_xlfn.ANCHORARRAY(E40),0))),I42&amp;"Por favor no seleccionar los criterios de impacto",J29)</f>
        <v>0</v>
      </c>
      <c r="L29" s="257"/>
      <c r="M29" s="242"/>
      <c r="N29" s="245"/>
      <c r="O29" s="125">
        <v>5</v>
      </c>
      <c r="P29" s="126"/>
      <c r="Q29" s="127" t="str">
        <f t="shared" si="12"/>
        <v/>
      </c>
      <c r="R29" s="128"/>
      <c r="S29" s="128"/>
      <c r="T29" s="129" t="str">
        <f t="shared" si="7"/>
        <v/>
      </c>
      <c r="U29" s="128"/>
      <c r="V29" s="128"/>
      <c r="W29" s="128"/>
      <c r="X29" s="130" t="str">
        <f t="shared" si="13"/>
        <v/>
      </c>
      <c r="Y29" s="131" t="str">
        <f t="shared" si="8"/>
        <v/>
      </c>
      <c r="Z29" s="132" t="str">
        <f t="shared" si="9"/>
        <v/>
      </c>
      <c r="AA29" s="131" t="str">
        <f t="shared" si="10"/>
        <v/>
      </c>
      <c r="AB29" s="140" t="str">
        <f t="shared" si="14"/>
        <v/>
      </c>
      <c r="AC29" s="133" t="str">
        <f t="shared" ref="AC29:AC30" si="15">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4"/>
      <c r="AE29" s="135"/>
      <c r="AF29" s="136"/>
      <c r="AG29" s="137"/>
      <c r="AH29" s="137"/>
      <c r="AI29" s="135"/>
      <c r="AJ29" s="136"/>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35.25" customHeight="1" x14ac:dyDescent="0.3">
      <c r="A30" s="249"/>
      <c r="B30" s="221"/>
      <c r="C30" s="221"/>
      <c r="D30" s="221"/>
      <c r="E30" s="252"/>
      <c r="F30" s="221"/>
      <c r="G30" s="255"/>
      <c r="H30" s="258"/>
      <c r="I30" s="243"/>
      <c r="J30" s="261"/>
      <c r="K30" s="243">
        <f>IF(NOT(ISERROR(MATCH(J30,_xlfn.ANCHORARRAY(E41),0))),I43&amp;"Por favor no seleccionar los criterios de impacto",J30)</f>
        <v>0</v>
      </c>
      <c r="L30" s="258"/>
      <c r="M30" s="243"/>
      <c r="N30" s="246"/>
      <c r="O30" s="125">
        <v>6</v>
      </c>
      <c r="P30" s="126"/>
      <c r="Q30" s="127" t="str">
        <f t="shared" si="12"/>
        <v/>
      </c>
      <c r="R30" s="128"/>
      <c r="S30" s="128"/>
      <c r="T30" s="129" t="str">
        <f t="shared" si="7"/>
        <v/>
      </c>
      <c r="U30" s="128"/>
      <c r="V30" s="128"/>
      <c r="W30" s="128"/>
      <c r="X30" s="130" t="str">
        <f t="shared" si="13"/>
        <v/>
      </c>
      <c r="Y30" s="131" t="str">
        <f t="shared" si="8"/>
        <v/>
      </c>
      <c r="Z30" s="132" t="str">
        <f t="shared" si="9"/>
        <v/>
      </c>
      <c r="AA30" s="131" t="str">
        <f t="shared" si="10"/>
        <v/>
      </c>
      <c r="AB30" s="140" t="str">
        <f t="shared" si="14"/>
        <v/>
      </c>
      <c r="AC30" s="133" t="str">
        <f t="shared" si="15"/>
        <v/>
      </c>
      <c r="AD30" s="134"/>
      <c r="AE30" s="135"/>
      <c r="AF30" s="136"/>
      <c r="AG30" s="137"/>
      <c r="AH30" s="137"/>
      <c r="AI30" s="135"/>
      <c r="AJ30" s="136"/>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35.25" customHeight="1" x14ac:dyDescent="0.3">
      <c r="A31" s="247">
        <v>9</v>
      </c>
      <c r="B31" s="219"/>
      <c r="C31" s="219"/>
      <c r="D31" s="219"/>
      <c r="E31" s="250"/>
      <c r="F31" s="219"/>
      <c r="G31" s="253"/>
      <c r="H31" s="256" t="str">
        <f>IF(G31&lt;=0,"",IF(G31&lt;=2,"Muy Baja",IF(G31&lt;=24,"Baja",IF(G31&lt;=500,"Media",IF(G31&lt;=5000,"Alta","Muy Alta")))))</f>
        <v/>
      </c>
      <c r="I31" s="241" t="str">
        <f>IF(H31="","",IF(H31="Muy Baja",0.2,IF(H31="Baja",0.4,IF(H31="Media",0.6,IF(H31="Alta",0.8,IF(H31="Muy Alta",1,))))))</f>
        <v/>
      </c>
      <c r="J31" s="259"/>
      <c r="K31" s="241">
        <f>IF(NOT(ISERROR(MATCH(J31,'Tabla Impacto'!$B$221:$B$223,0))),'Tabla Impacto'!$F$223&amp;"Por favor no seleccionar los criterios de impacto(Afectación Económica o presupuestal y Pérdida Reputacional)",J31)</f>
        <v>0</v>
      </c>
      <c r="L31" s="256" t="str">
        <f>IF(OR(K31='Tabla Impacto'!$C$11,K31='Tabla Impacto'!$D$11),"Leve",IF(OR(K31='Tabla Impacto'!$C$12,K31='Tabla Impacto'!$D$12),"Menor",IF(OR(K31='Tabla Impacto'!$C$13,K31='Tabla Impacto'!$D$13),"Moderado",IF(OR(K31='Tabla Impacto'!$C$14,K31='Tabla Impacto'!$D$14),"Mayor",IF(OR(K31='Tabla Impacto'!$C$15,K31='Tabla Impacto'!$D$15),"Catastrófico","")))))</f>
        <v/>
      </c>
      <c r="M31" s="241" t="str">
        <f>IF(L31="","",IF(L31="Leve",0.2,IF(L31="Menor",0.4,IF(L31="Moderado",0.6,IF(L31="Mayor",0.8,IF(L31="Catastrófico",1,))))))</f>
        <v/>
      </c>
      <c r="N31" s="244" t="str">
        <f>IF(OR(AND(H31="Muy Baja",L31="Leve"),AND(H31="Muy Baja",L31="Menor"),AND(H31="Baja",L31="Leve")),"Bajo",IF(OR(AND(H31="Muy baja",L31="Moderado"),AND(H31="Baja",L31="Menor"),AND(H31="Baja",L31="Moderado"),AND(H31="Media",L31="Leve"),AND(H31="Media",L31="Menor"),AND(H31="Media",L31="Moderado"),AND(H31="Alta",L31="Leve"),AND(H31="Alta",L31="Menor")),"Moderado",IF(OR(AND(H31="Muy Baja",L31="Mayor"),AND(H31="Baja",L31="Mayor"),AND(H31="Media",L31="Mayor"),AND(H31="Alta",L31="Moderado"),AND(H31="Alta",L31="Mayor"),AND(H31="Muy Alta",L31="Leve"),AND(H31="Muy Alta",L31="Menor"),AND(H31="Muy Alta",L31="Moderado"),AND(H31="Muy Alta",L31="Mayor")),"Alto",IF(OR(AND(H31="Muy Baja",L31="Catastrófico"),AND(H31="Baja",L31="Catastrófico"),AND(H31="Media",L31="Catastrófico"),AND(H31="Alta",L31="Catastrófico"),AND(H31="Muy Alta",L31="Catastrófico")),"Extremo",""))))</f>
        <v/>
      </c>
      <c r="O31" s="125">
        <v>1</v>
      </c>
      <c r="P31" s="126"/>
      <c r="Q31" s="127" t="str">
        <f>IF(OR(R31="Preventivo",R31="Detectivo"),"Probabilidad",IF(R31="Correctivo","Impacto",""))</f>
        <v/>
      </c>
      <c r="R31" s="128"/>
      <c r="S31" s="128"/>
      <c r="T31" s="129" t="str">
        <f>IF(AND(R31="Preventivo",S31="Automático"),"50%",IF(AND(R31="Preventivo",S31="Manual"),"40%",IF(AND(R31="Detectivo",S31="Automático"),"40%",IF(AND(R31="Detectivo",S31="Manual"),"30%",IF(AND(R31="Correctivo",S31="Automático"),"35%",IF(AND(R31="Correctivo",S31="Manual"),"25%",""))))))</f>
        <v/>
      </c>
      <c r="U31" s="128"/>
      <c r="V31" s="128"/>
      <c r="W31" s="128"/>
      <c r="X31" s="130" t="str">
        <f>IFERROR(IF(Q31="Probabilidad",(I31-(+I31*T31)),IF(Q31="Impacto",I31,"")),"")</f>
        <v/>
      </c>
      <c r="Y31" s="131" t="str">
        <f>IFERROR(IF(X31="","",IF(X31&lt;=0.2,"Muy Baja",IF(X31&lt;=0.4,"Baja",IF(X31&lt;=0.6,"Media",IF(X31&lt;=0.8,"Alta","Muy Alta"))))),"")</f>
        <v/>
      </c>
      <c r="Z31" s="132" t="str">
        <f>+X31</f>
        <v/>
      </c>
      <c r="AA31" s="131" t="str">
        <f>IFERROR(IF(AB31="","",IF(AB31&lt;=0.2,"Leve",IF(AB31&lt;=0.4,"Menor",IF(AB31&lt;=0.6,"Moderado",IF(AB31&lt;=0.8,"Mayor","Catastrófico"))))),"")</f>
        <v/>
      </c>
      <c r="AB31" s="140" t="str">
        <f>IFERROR(IF(Q31="Impacto",(M31-(+M31*T31)),IF(Q31="Probabilidad",M31,"")),"")</f>
        <v/>
      </c>
      <c r="AC31" s="133"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4"/>
      <c r="AE31" s="135"/>
      <c r="AF31" s="136"/>
      <c r="AG31" s="137"/>
      <c r="AH31" s="137"/>
      <c r="AI31" s="135"/>
      <c r="AJ31" s="136"/>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35.25" customHeight="1" x14ac:dyDescent="0.3">
      <c r="A32" s="248"/>
      <c r="B32" s="220"/>
      <c r="C32" s="220"/>
      <c r="D32" s="220"/>
      <c r="E32" s="251"/>
      <c r="F32" s="220"/>
      <c r="G32" s="254"/>
      <c r="H32" s="257"/>
      <c r="I32" s="242"/>
      <c r="J32" s="260"/>
      <c r="K32" s="242">
        <f>IF(NOT(ISERROR(MATCH(J32,_xlfn.ANCHORARRAY(E43),0))),I45&amp;"Por favor no seleccionar los criterios de impacto",J32)</f>
        <v>0</v>
      </c>
      <c r="L32" s="257"/>
      <c r="M32" s="242"/>
      <c r="N32" s="245"/>
      <c r="O32" s="125">
        <v>2</v>
      </c>
      <c r="P32" s="126"/>
      <c r="Q32" s="127" t="str">
        <f>IF(OR(R32="Preventivo",R32="Detectivo"),"Probabilidad",IF(R32="Correctivo","Impacto",""))</f>
        <v/>
      </c>
      <c r="R32" s="128"/>
      <c r="S32" s="128"/>
      <c r="T32" s="129" t="str">
        <f t="shared" ref="T32:T36" si="16">IF(AND(R32="Preventivo",S32="Automático"),"50%",IF(AND(R32="Preventivo",S32="Manual"),"40%",IF(AND(R32="Detectivo",S32="Automático"),"40%",IF(AND(R32="Detectivo",S32="Manual"),"30%",IF(AND(R32="Correctivo",S32="Automático"),"35%",IF(AND(R32="Correctivo",S32="Manual"),"25%",""))))))</f>
        <v/>
      </c>
      <c r="U32" s="128"/>
      <c r="V32" s="128"/>
      <c r="W32" s="128"/>
      <c r="X32" s="130" t="str">
        <f>IFERROR(IF(AND(Q31="Probabilidad",Q32="Probabilidad"),(Z31-(+Z31*T32)),IF(Q32="Probabilidad",(I31-(+I31*T32)),IF(Q32="Impacto",Z31,""))),"")</f>
        <v/>
      </c>
      <c r="Y32" s="131" t="str">
        <f t="shared" si="8"/>
        <v/>
      </c>
      <c r="Z32" s="132" t="str">
        <f t="shared" ref="Z32:Z36" si="17">+X32</f>
        <v/>
      </c>
      <c r="AA32" s="131" t="str">
        <f t="shared" si="10"/>
        <v/>
      </c>
      <c r="AB32" s="140" t="str">
        <f>IFERROR(IF(AND(Q31="Impacto",Q32="Impacto"),(AB31-(+AB31*T32)),IF(Q32="Impacto",(M31-(+M31*T32)),IF(Q32="Probabilidad",AB31,""))),"")</f>
        <v/>
      </c>
      <c r="AC32" s="133" t="str">
        <f t="shared" ref="AC32:AC33" si="18">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4"/>
      <c r="AE32" s="135"/>
      <c r="AF32" s="136"/>
      <c r="AG32" s="137"/>
      <c r="AH32" s="137"/>
      <c r="AI32" s="135"/>
      <c r="AJ32" s="136"/>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35.25" customHeight="1" x14ac:dyDescent="0.3">
      <c r="A33" s="248"/>
      <c r="B33" s="220"/>
      <c r="C33" s="220"/>
      <c r="D33" s="220"/>
      <c r="E33" s="251"/>
      <c r="F33" s="220"/>
      <c r="G33" s="254"/>
      <c r="H33" s="257"/>
      <c r="I33" s="242"/>
      <c r="J33" s="260"/>
      <c r="K33" s="242">
        <f>IF(NOT(ISERROR(MATCH(J33,_xlfn.ANCHORARRAY(E44),0))),I46&amp;"Por favor no seleccionar los criterios de impacto",J33)</f>
        <v>0</v>
      </c>
      <c r="L33" s="257"/>
      <c r="M33" s="242"/>
      <c r="N33" s="245"/>
      <c r="O33" s="125">
        <v>3</v>
      </c>
      <c r="P33" s="138"/>
      <c r="Q33" s="127" t="str">
        <f>IF(OR(R33="Preventivo",R33="Detectivo"),"Probabilidad",IF(R33="Correctivo","Impacto",""))</f>
        <v/>
      </c>
      <c r="R33" s="128"/>
      <c r="S33" s="128"/>
      <c r="T33" s="129" t="str">
        <f t="shared" si="16"/>
        <v/>
      </c>
      <c r="U33" s="128"/>
      <c r="V33" s="128"/>
      <c r="W33" s="128"/>
      <c r="X33" s="130" t="str">
        <f>IFERROR(IF(AND(Q32="Probabilidad",Q33="Probabilidad"),(Z32-(+Z32*T33)),IF(AND(Q32="Impacto",Q33="Probabilidad"),(Z31-(+Z31*T33)),IF(Q33="Impacto",Z32,""))),"")</f>
        <v/>
      </c>
      <c r="Y33" s="131" t="str">
        <f t="shared" si="8"/>
        <v/>
      </c>
      <c r="Z33" s="132" t="str">
        <f t="shared" si="17"/>
        <v/>
      </c>
      <c r="AA33" s="131" t="str">
        <f t="shared" si="10"/>
        <v/>
      </c>
      <c r="AB33" s="140" t="str">
        <f>IFERROR(IF(AND(Q32="Impacto",Q33="Impacto"),(AB32-(+AB32*T33)),IF(AND(Q32="Probabilidad",Q33="Impacto"),(AB31-(+AB31*T33)),IF(Q33="Probabilidad",AB32,""))),"")</f>
        <v/>
      </c>
      <c r="AC33" s="133" t="str">
        <f t="shared" si="18"/>
        <v/>
      </c>
      <c r="AD33" s="134"/>
      <c r="AE33" s="135"/>
      <c r="AF33" s="136"/>
      <c r="AG33" s="137"/>
      <c r="AH33" s="137"/>
      <c r="AI33" s="135"/>
      <c r="AJ33" s="136"/>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35.25" customHeight="1" x14ac:dyDescent="0.3">
      <c r="A34" s="248"/>
      <c r="B34" s="220"/>
      <c r="C34" s="220"/>
      <c r="D34" s="220"/>
      <c r="E34" s="251"/>
      <c r="F34" s="220"/>
      <c r="G34" s="254"/>
      <c r="H34" s="257"/>
      <c r="I34" s="242"/>
      <c r="J34" s="260"/>
      <c r="K34" s="242">
        <f>IF(NOT(ISERROR(MATCH(J34,_xlfn.ANCHORARRAY(E45),0))),I47&amp;"Por favor no seleccionar los criterios de impacto",J34)</f>
        <v>0</v>
      </c>
      <c r="L34" s="257"/>
      <c r="M34" s="242"/>
      <c r="N34" s="245"/>
      <c r="O34" s="125">
        <v>4</v>
      </c>
      <c r="P34" s="126"/>
      <c r="Q34" s="127" t="str">
        <f t="shared" ref="Q34:Q36" si="19">IF(OR(R34="Preventivo",R34="Detectivo"),"Probabilidad",IF(R34="Correctivo","Impacto",""))</f>
        <v/>
      </c>
      <c r="R34" s="128"/>
      <c r="S34" s="128"/>
      <c r="T34" s="129" t="str">
        <f t="shared" si="16"/>
        <v/>
      </c>
      <c r="U34" s="128"/>
      <c r="V34" s="128"/>
      <c r="W34" s="128"/>
      <c r="X34" s="130" t="str">
        <f t="shared" ref="X34:X36" si="20">IFERROR(IF(AND(Q33="Probabilidad",Q34="Probabilidad"),(Z33-(+Z33*T34)),IF(AND(Q33="Impacto",Q34="Probabilidad"),(Z32-(+Z32*T34)),IF(Q34="Impacto",Z33,""))),"")</f>
        <v/>
      </c>
      <c r="Y34" s="131" t="str">
        <f t="shared" si="8"/>
        <v/>
      </c>
      <c r="Z34" s="132" t="str">
        <f t="shared" si="17"/>
        <v/>
      </c>
      <c r="AA34" s="131" t="str">
        <f t="shared" si="10"/>
        <v/>
      </c>
      <c r="AB34" s="140" t="str">
        <f t="shared" ref="AB34:AB36" si="21">IFERROR(IF(AND(Q33="Impacto",Q34="Impacto"),(AB33-(+AB33*T34)),IF(AND(Q33="Probabilidad",Q34="Impacto"),(AB32-(+AB32*T34)),IF(Q34="Probabilidad",AB33,""))),"")</f>
        <v/>
      </c>
      <c r="AC34" s="133"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4"/>
      <c r="AE34" s="135"/>
      <c r="AF34" s="136"/>
      <c r="AG34" s="137"/>
      <c r="AH34" s="137"/>
      <c r="AI34" s="135"/>
      <c r="AJ34" s="136"/>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35.25" customHeight="1" x14ac:dyDescent="0.3">
      <c r="A35" s="248"/>
      <c r="B35" s="220"/>
      <c r="C35" s="220"/>
      <c r="D35" s="220"/>
      <c r="E35" s="251"/>
      <c r="F35" s="220"/>
      <c r="G35" s="254"/>
      <c r="H35" s="257"/>
      <c r="I35" s="242"/>
      <c r="J35" s="260"/>
      <c r="K35" s="242">
        <f>IF(NOT(ISERROR(MATCH(J35,_xlfn.ANCHORARRAY(E46),0))),I48&amp;"Por favor no seleccionar los criterios de impacto",J35)</f>
        <v>0</v>
      </c>
      <c r="L35" s="257"/>
      <c r="M35" s="242"/>
      <c r="N35" s="245"/>
      <c r="O35" s="125">
        <v>5</v>
      </c>
      <c r="P35" s="126"/>
      <c r="Q35" s="127" t="str">
        <f t="shared" si="19"/>
        <v/>
      </c>
      <c r="R35" s="128"/>
      <c r="S35" s="128"/>
      <c r="T35" s="129" t="str">
        <f t="shared" si="16"/>
        <v/>
      </c>
      <c r="U35" s="128"/>
      <c r="V35" s="128"/>
      <c r="W35" s="128"/>
      <c r="X35" s="130" t="str">
        <f t="shared" si="20"/>
        <v/>
      </c>
      <c r="Y35" s="131" t="str">
        <f t="shared" si="8"/>
        <v/>
      </c>
      <c r="Z35" s="132" t="str">
        <f t="shared" si="17"/>
        <v/>
      </c>
      <c r="AA35" s="131" t="str">
        <f t="shared" si="10"/>
        <v/>
      </c>
      <c r="AB35" s="140" t="str">
        <f t="shared" si="21"/>
        <v/>
      </c>
      <c r="AC35" s="133" t="str">
        <f t="shared" ref="AC35:AC36" si="22">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4"/>
      <c r="AE35" s="135"/>
      <c r="AF35" s="136"/>
      <c r="AG35" s="137"/>
      <c r="AH35" s="137"/>
      <c r="AI35" s="135"/>
      <c r="AJ35" s="136"/>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35.25" customHeight="1" x14ac:dyDescent="0.3">
      <c r="A36" s="249"/>
      <c r="B36" s="221"/>
      <c r="C36" s="221"/>
      <c r="D36" s="221"/>
      <c r="E36" s="252"/>
      <c r="F36" s="221"/>
      <c r="G36" s="255"/>
      <c r="H36" s="258"/>
      <c r="I36" s="243"/>
      <c r="J36" s="261"/>
      <c r="K36" s="243">
        <f>IF(NOT(ISERROR(MATCH(J36,_xlfn.ANCHORARRAY(E47),0))),I49&amp;"Por favor no seleccionar los criterios de impacto",J36)</f>
        <v>0</v>
      </c>
      <c r="L36" s="258"/>
      <c r="M36" s="243"/>
      <c r="N36" s="246"/>
      <c r="O36" s="125">
        <v>6</v>
      </c>
      <c r="P36" s="126"/>
      <c r="Q36" s="127" t="str">
        <f t="shared" si="19"/>
        <v/>
      </c>
      <c r="R36" s="128"/>
      <c r="S36" s="128"/>
      <c r="T36" s="129" t="str">
        <f t="shared" si="16"/>
        <v/>
      </c>
      <c r="U36" s="128"/>
      <c r="V36" s="128"/>
      <c r="W36" s="128"/>
      <c r="X36" s="130" t="str">
        <f t="shared" si="20"/>
        <v/>
      </c>
      <c r="Y36" s="131" t="str">
        <f t="shared" si="8"/>
        <v/>
      </c>
      <c r="Z36" s="132" t="str">
        <f t="shared" si="17"/>
        <v/>
      </c>
      <c r="AA36" s="131" t="str">
        <f t="shared" si="10"/>
        <v/>
      </c>
      <c r="AB36" s="140" t="str">
        <f t="shared" si="21"/>
        <v/>
      </c>
      <c r="AC36" s="133" t="str">
        <f t="shared" si="22"/>
        <v/>
      </c>
      <c r="AD36" s="134"/>
      <c r="AE36" s="135"/>
      <c r="AF36" s="136"/>
      <c r="AG36" s="137"/>
      <c r="AH36" s="137"/>
      <c r="AI36" s="135"/>
      <c r="AJ36" s="136"/>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35.25" customHeight="1" x14ac:dyDescent="0.3">
      <c r="A37" s="247">
        <v>10</v>
      </c>
      <c r="B37" s="219"/>
      <c r="C37" s="219"/>
      <c r="D37" s="219"/>
      <c r="E37" s="250"/>
      <c r="F37" s="219"/>
      <c r="G37" s="253"/>
      <c r="H37" s="256" t="str">
        <f>IF(G37&lt;=0,"",IF(G37&lt;=2,"Muy Baja",IF(G37&lt;=24,"Baja",IF(G37&lt;=500,"Media",IF(G37&lt;=5000,"Alta","Muy Alta")))))</f>
        <v/>
      </c>
      <c r="I37" s="241" t="str">
        <f>IF(H37="","",IF(H37="Muy Baja",0.2,IF(H37="Baja",0.4,IF(H37="Media",0.6,IF(H37="Alta",0.8,IF(H37="Muy Alta",1,))))))</f>
        <v/>
      </c>
      <c r="J37" s="259"/>
      <c r="K37" s="241">
        <f>IF(NOT(ISERROR(MATCH(J37,'Tabla Impacto'!$B$221:$B$223,0))),'Tabla Impacto'!$F$223&amp;"Por favor no seleccionar los criterios de impacto(Afectación Económica o presupuestal y Pérdida Reputacional)",J37)</f>
        <v>0</v>
      </c>
      <c r="L37" s="256" t="str">
        <f>IF(OR(K37='Tabla Impacto'!$C$11,K37='Tabla Impacto'!$D$11),"Leve",IF(OR(K37='Tabla Impacto'!$C$12,K37='Tabla Impacto'!$D$12),"Menor",IF(OR(K37='Tabla Impacto'!$C$13,K37='Tabla Impacto'!$D$13),"Moderado",IF(OR(K37='Tabla Impacto'!$C$14,K37='Tabla Impacto'!$D$14),"Mayor",IF(OR(K37='Tabla Impacto'!$C$15,K37='Tabla Impacto'!$D$15),"Catastrófico","")))))</f>
        <v/>
      </c>
      <c r="M37" s="241" t="str">
        <f>IF(L37="","",IF(L37="Leve",0.2,IF(L37="Menor",0.4,IF(L37="Moderado",0.6,IF(L37="Mayor",0.8,IF(L37="Catastrófico",1,))))))</f>
        <v/>
      </c>
      <c r="N37" s="244" t="str">
        <f>IF(OR(AND(H37="Muy Baja",L37="Leve"),AND(H37="Muy Baja",L37="Menor"),AND(H37="Baja",L37="Leve")),"Bajo",IF(OR(AND(H37="Muy baja",L37="Moderado"),AND(H37="Baja",L37="Menor"),AND(H37="Baja",L37="Moderado"),AND(H37="Media",L37="Leve"),AND(H37="Media",L37="Menor"),AND(H37="Media",L37="Moderado"),AND(H37="Alta",L37="Leve"),AND(H37="Alta",L37="Menor")),"Moderado",IF(OR(AND(H37="Muy Baja",L37="Mayor"),AND(H37="Baja",L37="Mayor"),AND(H37="Media",L37="Mayor"),AND(H37="Alta",L37="Moderado"),AND(H37="Alta",L37="Mayor"),AND(H37="Muy Alta",L37="Leve"),AND(H37="Muy Alta",L37="Menor"),AND(H37="Muy Alta",L37="Moderado"),AND(H37="Muy Alta",L37="Mayor")),"Alto",IF(OR(AND(H37="Muy Baja",L37="Catastrófico"),AND(H37="Baja",L37="Catastrófico"),AND(H37="Media",L37="Catastrófico"),AND(H37="Alta",L37="Catastrófico"),AND(H37="Muy Alta",L37="Catastrófico")),"Extremo",""))))</f>
        <v/>
      </c>
      <c r="O37" s="125">
        <v>1</v>
      </c>
      <c r="P37" s="126"/>
      <c r="Q37" s="127" t="str">
        <f>IF(OR(R37="Preventivo",R37="Detectivo"),"Probabilidad",IF(R37="Correctivo","Impacto",""))</f>
        <v/>
      </c>
      <c r="R37" s="128"/>
      <c r="S37" s="128"/>
      <c r="T37" s="129" t="str">
        <f>IF(AND(R37="Preventivo",S37="Automático"),"50%",IF(AND(R37="Preventivo",S37="Manual"),"40%",IF(AND(R37="Detectivo",S37="Automático"),"40%",IF(AND(R37="Detectivo",S37="Manual"),"30%",IF(AND(R37="Correctivo",S37="Automático"),"35%",IF(AND(R37="Correctivo",S37="Manual"),"25%",""))))))</f>
        <v/>
      </c>
      <c r="U37" s="128"/>
      <c r="V37" s="128"/>
      <c r="W37" s="128"/>
      <c r="X37" s="130" t="str">
        <f>IFERROR(IF(Q37="Probabilidad",(I37-(+I37*T37)),IF(Q37="Impacto",I37,"")),"")</f>
        <v/>
      </c>
      <c r="Y37" s="131" t="str">
        <f>IFERROR(IF(X37="","",IF(X37&lt;=0.2,"Muy Baja",IF(X37&lt;=0.4,"Baja",IF(X37&lt;=0.6,"Media",IF(X37&lt;=0.8,"Alta","Muy Alta"))))),"")</f>
        <v/>
      </c>
      <c r="Z37" s="132" t="str">
        <f>+X37</f>
        <v/>
      </c>
      <c r="AA37" s="131" t="str">
        <f>IFERROR(IF(AB37="","",IF(AB37&lt;=0.2,"Leve",IF(AB37&lt;=0.4,"Menor",IF(AB37&lt;=0.6,"Moderado",IF(AB37&lt;=0.8,"Mayor","Catastrófico"))))),"")</f>
        <v/>
      </c>
      <c r="AB37" s="140" t="str">
        <f>IFERROR(IF(Q37="Impacto",(M37-(+M37*T37)),IF(Q37="Probabilidad",M37,"")),"")</f>
        <v/>
      </c>
      <c r="AC37" s="133"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4"/>
      <c r="AE37" s="135"/>
      <c r="AF37" s="136"/>
      <c r="AG37" s="137"/>
      <c r="AH37" s="137"/>
      <c r="AI37" s="135"/>
      <c r="AJ37" s="136"/>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35.25" customHeight="1" x14ac:dyDescent="0.3">
      <c r="A38" s="248"/>
      <c r="B38" s="220"/>
      <c r="C38" s="220"/>
      <c r="D38" s="220"/>
      <c r="E38" s="251"/>
      <c r="F38" s="220"/>
      <c r="G38" s="254"/>
      <c r="H38" s="257"/>
      <c r="I38" s="242"/>
      <c r="J38" s="260"/>
      <c r="K38" s="242">
        <f>IF(NOT(ISERROR(MATCH(J38,_xlfn.ANCHORARRAY(E49),0))),I51&amp;"Por favor no seleccionar los criterios de impacto",J38)</f>
        <v>0</v>
      </c>
      <c r="L38" s="257"/>
      <c r="M38" s="242"/>
      <c r="N38" s="245"/>
      <c r="O38" s="125">
        <v>2</v>
      </c>
      <c r="P38" s="126"/>
      <c r="Q38" s="127" t="str">
        <f>IF(OR(R38="Preventivo",R38="Detectivo"),"Probabilidad",IF(R38="Correctivo","Impacto",""))</f>
        <v/>
      </c>
      <c r="R38" s="128"/>
      <c r="S38" s="128"/>
      <c r="T38" s="129" t="str">
        <f t="shared" ref="T38:T42" si="23">IF(AND(R38="Preventivo",S38="Automático"),"50%",IF(AND(R38="Preventivo",S38="Manual"),"40%",IF(AND(R38="Detectivo",S38="Automático"),"40%",IF(AND(R38="Detectivo",S38="Manual"),"30%",IF(AND(R38="Correctivo",S38="Automático"),"35%",IF(AND(R38="Correctivo",S38="Manual"),"25%",""))))))</f>
        <v/>
      </c>
      <c r="U38" s="128"/>
      <c r="V38" s="128"/>
      <c r="W38" s="128"/>
      <c r="X38" s="130" t="str">
        <f>IFERROR(IF(AND(Q37="Probabilidad",Q38="Probabilidad"),(Z37-(+Z37*T38)),IF(Q38="Probabilidad",(I37-(+I37*T38)),IF(Q38="Impacto",Z37,""))),"")</f>
        <v/>
      </c>
      <c r="Y38" s="131" t="str">
        <f t="shared" si="8"/>
        <v/>
      </c>
      <c r="Z38" s="132" t="str">
        <f t="shared" ref="Z38:Z42" si="24">+X38</f>
        <v/>
      </c>
      <c r="AA38" s="131" t="str">
        <f t="shared" si="10"/>
        <v/>
      </c>
      <c r="AB38" s="140" t="str">
        <f>IFERROR(IF(AND(Q37="Impacto",Q38="Impacto"),(AB37-(+AB37*T38)),IF(Q38="Impacto",(M37-(+M37*T38)),IF(Q38="Probabilidad",AB37,""))),"")</f>
        <v/>
      </c>
      <c r="AC38" s="133" t="str">
        <f t="shared" ref="AC38:AC39" si="25">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4"/>
      <c r="AE38" s="135"/>
      <c r="AF38" s="136"/>
      <c r="AG38" s="137"/>
      <c r="AH38" s="137"/>
      <c r="AI38" s="135"/>
      <c r="AJ38" s="136"/>
    </row>
    <row r="39" spans="1:68" ht="35.25" customHeight="1" x14ac:dyDescent="0.3">
      <c r="A39" s="248"/>
      <c r="B39" s="220"/>
      <c r="C39" s="220"/>
      <c r="D39" s="220"/>
      <c r="E39" s="251"/>
      <c r="F39" s="220"/>
      <c r="G39" s="254"/>
      <c r="H39" s="257"/>
      <c r="I39" s="242"/>
      <c r="J39" s="260"/>
      <c r="K39" s="242">
        <f>IF(NOT(ISERROR(MATCH(J39,_xlfn.ANCHORARRAY(E50),0))),I52&amp;"Por favor no seleccionar los criterios de impacto",J39)</f>
        <v>0</v>
      </c>
      <c r="L39" s="257"/>
      <c r="M39" s="242"/>
      <c r="N39" s="245"/>
      <c r="O39" s="125">
        <v>3</v>
      </c>
      <c r="P39" s="138"/>
      <c r="Q39" s="127" t="str">
        <f>IF(OR(R39="Preventivo",R39="Detectivo"),"Probabilidad",IF(R39="Correctivo","Impacto",""))</f>
        <v/>
      </c>
      <c r="R39" s="128"/>
      <c r="S39" s="128"/>
      <c r="T39" s="129" t="str">
        <f t="shared" si="23"/>
        <v/>
      </c>
      <c r="U39" s="128"/>
      <c r="V39" s="128"/>
      <c r="W39" s="128"/>
      <c r="X39" s="130" t="str">
        <f>IFERROR(IF(AND(Q38="Probabilidad",Q39="Probabilidad"),(Z38-(+Z38*T39)),IF(AND(Q38="Impacto",Q39="Probabilidad"),(Z37-(+Z37*T39)),IF(Q39="Impacto",Z38,""))),"")</f>
        <v/>
      </c>
      <c r="Y39" s="131" t="str">
        <f t="shared" si="8"/>
        <v/>
      </c>
      <c r="Z39" s="132" t="str">
        <f t="shared" si="24"/>
        <v/>
      </c>
      <c r="AA39" s="131" t="str">
        <f t="shared" si="10"/>
        <v/>
      </c>
      <c r="AB39" s="140" t="str">
        <f>IFERROR(IF(AND(Q38="Impacto",Q39="Impacto"),(AB38-(+AB38*T39)),IF(AND(Q38="Probabilidad",Q39="Impacto"),(AB37-(+AB37*T39)),IF(Q39="Probabilidad",AB38,""))),"")</f>
        <v/>
      </c>
      <c r="AC39" s="133" t="str">
        <f t="shared" si="25"/>
        <v/>
      </c>
      <c r="AD39" s="134"/>
      <c r="AE39" s="135"/>
      <c r="AF39" s="136"/>
      <c r="AG39" s="137"/>
      <c r="AH39" s="137"/>
      <c r="AI39" s="135"/>
      <c r="AJ39" s="136"/>
    </row>
    <row r="40" spans="1:68" ht="35.25" customHeight="1" x14ac:dyDescent="0.3">
      <c r="A40" s="248"/>
      <c r="B40" s="220"/>
      <c r="C40" s="220"/>
      <c r="D40" s="220"/>
      <c r="E40" s="251"/>
      <c r="F40" s="220"/>
      <c r="G40" s="254"/>
      <c r="H40" s="257"/>
      <c r="I40" s="242"/>
      <c r="J40" s="260"/>
      <c r="K40" s="242">
        <f>IF(NOT(ISERROR(MATCH(J40,_xlfn.ANCHORARRAY(E51),0))),I53&amp;"Por favor no seleccionar los criterios de impacto",J40)</f>
        <v>0</v>
      </c>
      <c r="L40" s="257"/>
      <c r="M40" s="242"/>
      <c r="N40" s="245"/>
      <c r="O40" s="125">
        <v>4</v>
      </c>
      <c r="P40" s="126"/>
      <c r="Q40" s="127" t="str">
        <f t="shared" ref="Q40:Q42" si="26">IF(OR(R40="Preventivo",R40="Detectivo"),"Probabilidad",IF(R40="Correctivo","Impacto",""))</f>
        <v/>
      </c>
      <c r="R40" s="128"/>
      <c r="S40" s="128"/>
      <c r="T40" s="129" t="str">
        <f t="shared" si="23"/>
        <v/>
      </c>
      <c r="U40" s="128"/>
      <c r="V40" s="128"/>
      <c r="W40" s="128"/>
      <c r="X40" s="130" t="str">
        <f t="shared" ref="X40:X42" si="27">IFERROR(IF(AND(Q39="Probabilidad",Q40="Probabilidad"),(Z39-(+Z39*T40)),IF(AND(Q39="Impacto",Q40="Probabilidad"),(Z38-(+Z38*T40)),IF(Q40="Impacto",Z39,""))),"")</f>
        <v/>
      </c>
      <c r="Y40" s="131" t="str">
        <f t="shared" si="8"/>
        <v/>
      </c>
      <c r="Z40" s="132" t="str">
        <f t="shared" si="24"/>
        <v/>
      </c>
      <c r="AA40" s="131" t="str">
        <f t="shared" si="10"/>
        <v/>
      </c>
      <c r="AB40" s="140" t="str">
        <f t="shared" ref="AB40:AB42" si="28">IFERROR(IF(AND(Q39="Impacto",Q40="Impacto"),(AB39-(+AB39*T40)),IF(AND(Q39="Probabilidad",Q40="Impacto"),(AB38-(+AB38*T40)),IF(Q40="Probabilidad",AB39,""))),"")</f>
        <v/>
      </c>
      <c r="AC40" s="133"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4"/>
      <c r="AE40" s="135"/>
      <c r="AF40" s="136"/>
      <c r="AG40" s="137"/>
      <c r="AH40" s="137"/>
      <c r="AI40" s="135"/>
      <c r="AJ40" s="136"/>
    </row>
    <row r="41" spans="1:68" ht="35.25" customHeight="1" x14ac:dyDescent="0.3">
      <c r="A41" s="248"/>
      <c r="B41" s="220"/>
      <c r="C41" s="220"/>
      <c r="D41" s="220"/>
      <c r="E41" s="251"/>
      <c r="F41" s="220"/>
      <c r="G41" s="254"/>
      <c r="H41" s="257"/>
      <c r="I41" s="242"/>
      <c r="J41" s="260"/>
      <c r="K41" s="242">
        <f>IF(NOT(ISERROR(MATCH(J41,_xlfn.ANCHORARRAY(E52),0))),I54&amp;"Por favor no seleccionar los criterios de impacto",J41)</f>
        <v>0</v>
      </c>
      <c r="L41" s="257"/>
      <c r="M41" s="242"/>
      <c r="N41" s="245"/>
      <c r="O41" s="125">
        <v>5</v>
      </c>
      <c r="P41" s="126"/>
      <c r="Q41" s="127" t="str">
        <f t="shared" si="26"/>
        <v/>
      </c>
      <c r="R41" s="128"/>
      <c r="S41" s="128"/>
      <c r="T41" s="129" t="str">
        <f t="shared" si="23"/>
        <v/>
      </c>
      <c r="U41" s="128"/>
      <c r="V41" s="128"/>
      <c r="W41" s="128"/>
      <c r="X41" s="130" t="str">
        <f t="shared" si="27"/>
        <v/>
      </c>
      <c r="Y41" s="131" t="str">
        <f t="shared" si="8"/>
        <v/>
      </c>
      <c r="Z41" s="132" t="str">
        <f t="shared" si="24"/>
        <v/>
      </c>
      <c r="AA41" s="131" t="str">
        <f t="shared" si="10"/>
        <v/>
      </c>
      <c r="AB41" s="140" t="str">
        <f t="shared" si="28"/>
        <v/>
      </c>
      <c r="AC41" s="133" t="str">
        <f t="shared" ref="AC41:AC42" si="29">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4"/>
      <c r="AE41" s="135"/>
      <c r="AF41" s="136"/>
      <c r="AG41" s="137"/>
      <c r="AH41" s="137"/>
      <c r="AI41" s="135"/>
      <c r="AJ41" s="136"/>
    </row>
    <row r="42" spans="1:68" ht="35.25" customHeight="1" x14ac:dyDescent="0.3">
      <c r="A42" s="249"/>
      <c r="B42" s="221"/>
      <c r="C42" s="221"/>
      <c r="D42" s="221"/>
      <c r="E42" s="252"/>
      <c r="F42" s="221"/>
      <c r="G42" s="255"/>
      <c r="H42" s="258"/>
      <c r="I42" s="243"/>
      <c r="J42" s="261"/>
      <c r="K42" s="243">
        <f>IF(NOT(ISERROR(MATCH(J42,_xlfn.ANCHORARRAY(E53),0))),I55&amp;"Por favor no seleccionar los criterios de impacto",J42)</f>
        <v>0</v>
      </c>
      <c r="L42" s="258"/>
      <c r="M42" s="243"/>
      <c r="N42" s="246"/>
      <c r="O42" s="125">
        <v>6</v>
      </c>
      <c r="P42" s="126"/>
      <c r="Q42" s="127" t="str">
        <f t="shared" si="26"/>
        <v/>
      </c>
      <c r="R42" s="128"/>
      <c r="S42" s="128"/>
      <c r="T42" s="129" t="str">
        <f t="shared" si="23"/>
        <v/>
      </c>
      <c r="U42" s="128"/>
      <c r="V42" s="128"/>
      <c r="W42" s="128"/>
      <c r="X42" s="130" t="str">
        <f t="shared" si="27"/>
        <v/>
      </c>
      <c r="Y42" s="131" t="str">
        <f t="shared" si="8"/>
        <v/>
      </c>
      <c r="Z42" s="132" t="str">
        <f t="shared" si="24"/>
        <v/>
      </c>
      <c r="AA42" s="131" t="str">
        <f t="shared" si="10"/>
        <v/>
      </c>
      <c r="AB42" s="140" t="str">
        <f t="shared" si="28"/>
        <v/>
      </c>
      <c r="AC42" s="133" t="str">
        <f t="shared" si="29"/>
        <v/>
      </c>
      <c r="AD42" s="134"/>
      <c r="AE42" s="135"/>
      <c r="AF42" s="136"/>
      <c r="AG42" s="137"/>
      <c r="AH42" s="137"/>
      <c r="AI42" s="135"/>
      <c r="AJ42" s="136"/>
    </row>
    <row r="43" spans="1:68" ht="49.5" customHeight="1" x14ac:dyDescent="0.3">
      <c r="A43" s="6"/>
      <c r="B43" s="238" t="s">
        <v>131</v>
      </c>
      <c r="C43" s="239"/>
      <c r="D43" s="239"/>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40"/>
    </row>
    <row r="45" spans="1:68" x14ac:dyDescent="0.3">
      <c r="A45" s="1"/>
      <c r="B45" s="24" t="s">
        <v>143</v>
      </c>
      <c r="C45" s="1"/>
      <c r="D45" s="1"/>
      <c r="F45" s="1"/>
    </row>
  </sheetData>
  <dataConsolidate/>
  <mergeCells count="149">
    <mergeCell ref="AE8:AE9"/>
    <mergeCell ref="AJ8:AJ9"/>
    <mergeCell ref="AI8:AI9"/>
    <mergeCell ref="AH8:AH9"/>
    <mergeCell ref="AG8:AG9"/>
    <mergeCell ref="AF8:AF9"/>
    <mergeCell ref="C5:Q5"/>
    <mergeCell ref="AA8:AA9"/>
    <mergeCell ref="Y8:Y9"/>
    <mergeCell ref="Z8:Z9"/>
    <mergeCell ref="G8:G9"/>
    <mergeCell ref="H8:H9"/>
    <mergeCell ref="I8:I9"/>
    <mergeCell ref="L8:L9"/>
    <mergeCell ref="M8:M9"/>
    <mergeCell ref="AD8:AD9"/>
    <mergeCell ref="C6:N6"/>
    <mergeCell ref="O8:O9"/>
    <mergeCell ref="AC8:AC9"/>
    <mergeCell ref="AB8:AB9"/>
    <mergeCell ref="X8:X9"/>
    <mergeCell ref="P8:P9"/>
    <mergeCell ref="O4:Q4"/>
    <mergeCell ref="N8:N9"/>
    <mergeCell ref="J8:J9"/>
    <mergeCell ref="K8:K9"/>
    <mergeCell ref="Q8:Q9"/>
    <mergeCell ref="R8:W8"/>
    <mergeCell ref="N19:N24"/>
    <mergeCell ref="F19:F24"/>
    <mergeCell ref="G19:G24"/>
    <mergeCell ref="H19:H24"/>
    <mergeCell ref="I19:I24"/>
    <mergeCell ref="P13:P18"/>
    <mergeCell ref="O13:O18"/>
    <mergeCell ref="Q13:Q18"/>
    <mergeCell ref="R13:R18"/>
    <mergeCell ref="S13:S18"/>
    <mergeCell ref="T13:T18"/>
    <mergeCell ref="U13:U18"/>
    <mergeCell ref="V13:V18"/>
    <mergeCell ref="W13:W18"/>
    <mergeCell ref="P19:P24"/>
    <mergeCell ref="O19:O24"/>
    <mergeCell ref="Q19:Q24"/>
    <mergeCell ref="A4:B4"/>
    <mergeCell ref="A5:B5"/>
    <mergeCell ref="A6:B6"/>
    <mergeCell ref="A8:A9"/>
    <mergeCell ref="F8:F9"/>
    <mergeCell ref="E8:E9"/>
    <mergeCell ref="D8:D9"/>
    <mergeCell ref="C8:C9"/>
    <mergeCell ref="B8:B9"/>
    <mergeCell ref="C4:N4"/>
    <mergeCell ref="E25:E30"/>
    <mergeCell ref="A19:A24"/>
    <mergeCell ref="B19:B24"/>
    <mergeCell ref="C19:C24"/>
    <mergeCell ref="D19:D24"/>
    <mergeCell ref="E19:E24"/>
    <mergeCell ref="M13:M18"/>
    <mergeCell ref="N13:N18"/>
    <mergeCell ref="J19:J24"/>
    <mergeCell ref="K19:K24"/>
    <mergeCell ref="L19:L24"/>
    <mergeCell ref="A13:A18"/>
    <mergeCell ref="B13:B18"/>
    <mergeCell ref="C13:C18"/>
    <mergeCell ref="D13:D18"/>
    <mergeCell ref="E13:E18"/>
    <mergeCell ref="F13:F18"/>
    <mergeCell ref="J13:J18"/>
    <mergeCell ref="K13:K18"/>
    <mergeCell ref="L13:L18"/>
    <mergeCell ref="G13:G18"/>
    <mergeCell ref="H13:H18"/>
    <mergeCell ref="I13:I18"/>
    <mergeCell ref="M19:M24"/>
    <mergeCell ref="K25:K30"/>
    <mergeCell ref="L25:L30"/>
    <mergeCell ref="M25:M30"/>
    <mergeCell ref="N25:N30"/>
    <mergeCell ref="K31:K36"/>
    <mergeCell ref="L31:L36"/>
    <mergeCell ref="A31:A36"/>
    <mergeCell ref="B31:B36"/>
    <mergeCell ref="C31:C36"/>
    <mergeCell ref="D31:D36"/>
    <mergeCell ref="E31:E36"/>
    <mergeCell ref="F31:F36"/>
    <mergeCell ref="G31:G36"/>
    <mergeCell ref="H31:H36"/>
    <mergeCell ref="I31:I36"/>
    <mergeCell ref="F25:F30"/>
    <mergeCell ref="G25:G30"/>
    <mergeCell ref="H25:H30"/>
    <mergeCell ref="I25:I30"/>
    <mergeCell ref="J25:J30"/>
    <mergeCell ref="A25:A30"/>
    <mergeCell ref="B25:B30"/>
    <mergeCell ref="C25:C30"/>
    <mergeCell ref="D25:D30"/>
    <mergeCell ref="A1:AJ2"/>
    <mergeCell ref="A7:G7"/>
    <mergeCell ref="H7:N7"/>
    <mergeCell ref="O7:W7"/>
    <mergeCell ref="X7:AD7"/>
    <mergeCell ref="AE7:AJ7"/>
    <mergeCell ref="B43:AJ43"/>
    <mergeCell ref="M31:M36"/>
    <mergeCell ref="N31:N36"/>
    <mergeCell ref="A37:A42"/>
    <mergeCell ref="B37:B42"/>
    <mergeCell ref="C37:C42"/>
    <mergeCell ref="D37:D42"/>
    <mergeCell ref="E37:E42"/>
    <mergeCell ref="F37:F42"/>
    <mergeCell ref="G37:G42"/>
    <mergeCell ref="H37:H42"/>
    <mergeCell ref="I37:I42"/>
    <mergeCell ref="J37:J42"/>
    <mergeCell ref="K37:K42"/>
    <mergeCell ref="L37:L42"/>
    <mergeCell ref="M37:M42"/>
    <mergeCell ref="N37:N42"/>
    <mergeCell ref="J31:J36"/>
    <mergeCell ref="Y13:Y18"/>
    <mergeCell ref="Z13:Z18"/>
    <mergeCell ref="AA13:AA18"/>
    <mergeCell ref="AB13:AB18"/>
    <mergeCell ref="AC13:AC18"/>
    <mergeCell ref="AD13:AD18"/>
    <mergeCell ref="AE13:AE18"/>
    <mergeCell ref="AF13:AF18"/>
    <mergeCell ref="AB19:AB24"/>
    <mergeCell ref="AC19:AC24"/>
    <mergeCell ref="AD19:AD24"/>
    <mergeCell ref="AE19:AE24"/>
    <mergeCell ref="AF19:AF24"/>
    <mergeCell ref="R19:R24"/>
    <mergeCell ref="S19:S24"/>
    <mergeCell ref="T19:T24"/>
    <mergeCell ref="U19:U24"/>
    <mergeCell ref="V19:V24"/>
    <mergeCell ref="W19:W24"/>
    <mergeCell ref="Y19:Y24"/>
    <mergeCell ref="Z19:Z24"/>
    <mergeCell ref="AA19:AA24"/>
  </mergeCells>
  <conditionalFormatting sqref="Y11">
    <cfRule type="cellIs" dxfId="175" priority="324" operator="equal">
      <formula>"Muy Alta"</formula>
    </cfRule>
    <cfRule type="cellIs" dxfId="174" priority="325" operator="equal">
      <formula>"Alta"</formula>
    </cfRule>
    <cfRule type="cellIs" dxfId="173" priority="326" operator="equal">
      <formula>"Media"</formula>
    </cfRule>
    <cfRule type="cellIs" dxfId="172" priority="327" operator="equal">
      <formula>"Baja"</formula>
    </cfRule>
    <cfRule type="cellIs" dxfId="171" priority="328" operator="equal">
      <formula>"Muy Baja"</formula>
    </cfRule>
  </conditionalFormatting>
  <conditionalFormatting sqref="L10 L12:L13 L19 L25 L31 L37 AA11">
    <cfRule type="cellIs" dxfId="170" priority="319" operator="equal">
      <formula>"Catastrófico"</formula>
    </cfRule>
    <cfRule type="cellIs" dxfId="169" priority="320" operator="equal">
      <formula>"Mayor"</formula>
    </cfRule>
    <cfRule type="cellIs" dxfId="168" priority="321" operator="equal">
      <formula>"Moderado"</formula>
    </cfRule>
    <cfRule type="cellIs" dxfId="167" priority="322" operator="equal">
      <formula>"Menor"</formula>
    </cfRule>
    <cfRule type="cellIs" dxfId="166" priority="323" operator="equal">
      <formula>"Leve"</formula>
    </cfRule>
  </conditionalFormatting>
  <conditionalFormatting sqref="N10 AC11">
    <cfRule type="cellIs" dxfId="165" priority="315" operator="equal">
      <formula>"Extremo"</formula>
    </cfRule>
    <cfRule type="cellIs" dxfId="164" priority="316" operator="equal">
      <formula>"Alto"</formula>
    </cfRule>
    <cfRule type="cellIs" dxfId="163" priority="317" operator="equal">
      <formula>"Moderado"</formula>
    </cfRule>
    <cfRule type="cellIs" dxfId="162" priority="318" operator="equal">
      <formula>"Bajo"</formula>
    </cfRule>
  </conditionalFormatting>
  <conditionalFormatting sqref="Y10">
    <cfRule type="cellIs" dxfId="161" priority="310" operator="equal">
      <formula>"Muy Alta"</formula>
    </cfRule>
    <cfRule type="cellIs" dxfId="160" priority="311" operator="equal">
      <formula>"Alta"</formula>
    </cfRule>
    <cfRule type="cellIs" dxfId="159" priority="312" operator="equal">
      <formula>"Media"</formula>
    </cfRule>
    <cfRule type="cellIs" dxfId="158" priority="313" operator="equal">
      <formula>"Baja"</formula>
    </cfRule>
    <cfRule type="cellIs" dxfId="157" priority="314" operator="equal">
      <formula>"Muy Baja"</formula>
    </cfRule>
  </conditionalFormatting>
  <conditionalFormatting sqref="AA10">
    <cfRule type="cellIs" dxfId="156" priority="305" operator="equal">
      <formula>"Catastrófico"</formula>
    </cfRule>
    <cfRule type="cellIs" dxfId="155" priority="306" operator="equal">
      <formula>"Mayor"</formula>
    </cfRule>
    <cfRule type="cellIs" dxfId="154" priority="307" operator="equal">
      <formula>"Moderado"</formula>
    </cfRule>
    <cfRule type="cellIs" dxfId="153" priority="308" operator="equal">
      <formula>"Menor"</formula>
    </cfRule>
    <cfRule type="cellIs" dxfId="152" priority="309" operator="equal">
      <formula>"Leve"</formula>
    </cfRule>
  </conditionalFormatting>
  <conditionalFormatting sqref="AC10">
    <cfRule type="cellIs" dxfId="151" priority="301" operator="equal">
      <formula>"Extremo"</formula>
    </cfRule>
    <cfRule type="cellIs" dxfId="150" priority="302" operator="equal">
      <formula>"Alto"</formula>
    </cfRule>
    <cfRule type="cellIs" dxfId="149" priority="303" operator="equal">
      <formula>"Moderado"</formula>
    </cfRule>
    <cfRule type="cellIs" dxfId="148" priority="304" operator="equal">
      <formula>"Bajo"</formula>
    </cfRule>
  </conditionalFormatting>
  <conditionalFormatting sqref="H31">
    <cfRule type="cellIs" dxfId="147" priority="58" operator="equal">
      <formula>"Muy Alta"</formula>
    </cfRule>
    <cfRule type="cellIs" dxfId="146" priority="59" operator="equal">
      <formula>"Alta"</formula>
    </cfRule>
    <cfRule type="cellIs" dxfId="145" priority="60" operator="equal">
      <formula>"Media"</formula>
    </cfRule>
    <cfRule type="cellIs" dxfId="144" priority="61" operator="equal">
      <formula>"Baja"</formula>
    </cfRule>
    <cfRule type="cellIs" dxfId="143" priority="62" operator="equal">
      <formula>"Muy Baja"</formula>
    </cfRule>
  </conditionalFormatting>
  <conditionalFormatting sqref="H12">
    <cfRule type="cellIs" dxfId="142" priority="198" operator="equal">
      <formula>"Muy Alta"</formula>
    </cfRule>
    <cfRule type="cellIs" dxfId="141" priority="199" operator="equal">
      <formula>"Alta"</formula>
    </cfRule>
    <cfRule type="cellIs" dxfId="140" priority="200" operator="equal">
      <formula>"Media"</formula>
    </cfRule>
    <cfRule type="cellIs" dxfId="139" priority="201" operator="equal">
      <formula>"Baja"</formula>
    </cfRule>
    <cfRule type="cellIs" dxfId="138" priority="202" operator="equal">
      <formula>"Muy Baja"</formula>
    </cfRule>
  </conditionalFormatting>
  <conditionalFormatting sqref="N12">
    <cfRule type="cellIs" dxfId="137" priority="189" operator="equal">
      <formula>"Extremo"</formula>
    </cfRule>
    <cfRule type="cellIs" dxfId="136" priority="190" operator="equal">
      <formula>"Alto"</formula>
    </cfRule>
    <cfRule type="cellIs" dxfId="135" priority="191" operator="equal">
      <formula>"Moderado"</formula>
    </cfRule>
    <cfRule type="cellIs" dxfId="134" priority="192" operator="equal">
      <formula>"Bajo"</formula>
    </cfRule>
  </conditionalFormatting>
  <conditionalFormatting sqref="Y12">
    <cfRule type="cellIs" dxfId="133" priority="184" operator="equal">
      <formula>"Muy Alta"</formula>
    </cfRule>
    <cfRule type="cellIs" dxfId="132" priority="185" operator="equal">
      <formula>"Alta"</formula>
    </cfRule>
    <cfRule type="cellIs" dxfId="131" priority="186" operator="equal">
      <formula>"Media"</formula>
    </cfRule>
    <cfRule type="cellIs" dxfId="130" priority="187" operator="equal">
      <formula>"Baja"</formula>
    </cfRule>
    <cfRule type="cellIs" dxfId="129" priority="188" operator="equal">
      <formula>"Muy Baja"</formula>
    </cfRule>
  </conditionalFormatting>
  <conditionalFormatting sqref="AA12">
    <cfRule type="cellIs" dxfId="128" priority="179" operator="equal">
      <formula>"Catastrófico"</formula>
    </cfRule>
    <cfRule type="cellIs" dxfId="127" priority="180" operator="equal">
      <formula>"Mayor"</formula>
    </cfRule>
    <cfRule type="cellIs" dxfId="126" priority="181" operator="equal">
      <formula>"Moderado"</formula>
    </cfRule>
    <cfRule type="cellIs" dxfId="125" priority="182" operator="equal">
      <formula>"Menor"</formula>
    </cfRule>
    <cfRule type="cellIs" dxfId="124" priority="183" operator="equal">
      <formula>"Leve"</formula>
    </cfRule>
  </conditionalFormatting>
  <conditionalFormatting sqref="AC12">
    <cfRule type="cellIs" dxfId="123" priority="175" operator="equal">
      <formula>"Extremo"</formula>
    </cfRule>
    <cfRule type="cellIs" dxfId="122" priority="176" operator="equal">
      <formula>"Alto"</formula>
    </cfRule>
    <cfRule type="cellIs" dxfId="121" priority="177" operator="equal">
      <formula>"Moderado"</formula>
    </cfRule>
    <cfRule type="cellIs" dxfId="120" priority="178" operator="equal">
      <formula>"Bajo"</formula>
    </cfRule>
  </conditionalFormatting>
  <conditionalFormatting sqref="H13">
    <cfRule type="cellIs" dxfId="119" priority="142" operator="equal">
      <formula>"Muy Alta"</formula>
    </cfRule>
    <cfRule type="cellIs" dxfId="118" priority="143" operator="equal">
      <formula>"Alta"</formula>
    </cfRule>
    <cfRule type="cellIs" dxfId="117" priority="144" operator="equal">
      <formula>"Media"</formula>
    </cfRule>
    <cfRule type="cellIs" dxfId="116" priority="145" operator="equal">
      <formula>"Baja"</formula>
    </cfRule>
    <cfRule type="cellIs" dxfId="115" priority="146" operator="equal">
      <formula>"Muy Baja"</formula>
    </cfRule>
  </conditionalFormatting>
  <conditionalFormatting sqref="N13">
    <cfRule type="cellIs" dxfId="114" priority="133" operator="equal">
      <formula>"Extremo"</formula>
    </cfRule>
    <cfRule type="cellIs" dxfId="113" priority="134" operator="equal">
      <formula>"Alto"</formula>
    </cfRule>
    <cfRule type="cellIs" dxfId="112" priority="135" operator="equal">
      <formula>"Moderado"</formula>
    </cfRule>
    <cfRule type="cellIs" dxfId="111" priority="136" operator="equal">
      <formula>"Bajo"</formula>
    </cfRule>
  </conditionalFormatting>
  <conditionalFormatting sqref="Y13">
    <cfRule type="cellIs" dxfId="110" priority="128" operator="equal">
      <formula>"Muy Alta"</formula>
    </cfRule>
    <cfRule type="cellIs" dxfId="109" priority="129" operator="equal">
      <formula>"Alta"</formula>
    </cfRule>
    <cfRule type="cellIs" dxfId="108" priority="130" operator="equal">
      <formula>"Media"</formula>
    </cfRule>
    <cfRule type="cellIs" dxfId="107" priority="131" operator="equal">
      <formula>"Baja"</formula>
    </cfRule>
    <cfRule type="cellIs" dxfId="106" priority="132" operator="equal">
      <formula>"Muy Baja"</formula>
    </cfRule>
  </conditionalFormatting>
  <conditionalFormatting sqref="AA13">
    <cfRule type="cellIs" dxfId="105" priority="123" operator="equal">
      <formula>"Catastrófico"</formula>
    </cfRule>
    <cfRule type="cellIs" dxfId="104" priority="124" operator="equal">
      <formula>"Mayor"</formula>
    </cfRule>
    <cfRule type="cellIs" dxfId="103" priority="125" operator="equal">
      <formula>"Moderado"</formula>
    </cfRule>
    <cfRule type="cellIs" dxfId="102" priority="126" operator="equal">
      <formula>"Menor"</formula>
    </cfRule>
    <cfRule type="cellIs" dxfId="101" priority="127" operator="equal">
      <formula>"Leve"</formula>
    </cfRule>
  </conditionalFormatting>
  <conditionalFormatting sqref="AC13">
    <cfRule type="cellIs" dxfId="100" priority="119" operator="equal">
      <formula>"Extremo"</formula>
    </cfRule>
    <cfRule type="cellIs" dxfId="99" priority="120" operator="equal">
      <formula>"Alto"</formula>
    </cfRule>
    <cfRule type="cellIs" dxfId="98" priority="121" operator="equal">
      <formula>"Moderado"</formula>
    </cfRule>
    <cfRule type="cellIs" dxfId="97" priority="122" operator="equal">
      <formula>"Bajo"</formula>
    </cfRule>
  </conditionalFormatting>
  <conditionalFormatting sqref="H19">
    <cfRule type="cellIs" dxfId="96" priority="114" operator="equal">
      <formula>"Muy Alta"</formula>
    </cfRule>
    <cfRule type="cellIs" dxfId="95" priority="115" operator="equal">
      <formula>"Alta"</formula>
    </cfRule>
    <cfRule type="cellIs" dxfId="94" priority="116" operator="equal">
      <formula>"Media"</formula>
    </cfRule>
    <cfRule type="cellIs" dxfId="93" priority="117" operator="equal">
      <formula>"Baja"</formula>
    </cfRule>
    <cfRule type="cellIs" dxfId="92" priority="118" operator="equal">
      <formula>"Muy Baja"</formula>
    </cfRule>
  </conditionalFormatting>
  <conditionalFormatting sqref="N19">
    <cfRule type="cellIs" dxfId="91" priority="105" operator="equal">
      <formula>"Extremo"</formula>
    </cfRule>
    <cfRule type="cellIs" dxfId="90" priority="106" operator="equal">
      <formula>"Alto"</formula>
    </cfRule>
    <cfRule type="cellIs" dxfId="89" priority="107" operator="equal">
      <formula>"Moderado"</formula>
    </cfRule>
    <cfRule type="cellIs" dxfId="88" priority="108" operator="equal">
      <formula>"Bajo"</formula>
    </cfRule>
  </conditionalFormatting>
  <conditionalFormatting sqref="Y19">
    <cfRule type="cellIs" dxfId="87" priority="100" operator="equal">
      <formula>"Muy Alta"</formula>
    </cfRule>
    <cfRule type="cellIs" dxfId="86" priority="101" operator="equal">
      <formula>"Alta"</formula>
    </cfRule>
    <cfRule type="cellIs" dxfId="85" priority="102" operator="equal">
      <formula>"Media"</formula>
    </cfRule>
    <cfRule type="cellIs" dxfId="84" priority="103" operator="equal">
      <formula>"Baja"</formula>
    </cfRule>
    <cfRule type="cellIs" dxfId="83" priority="104" operator="equal">
      <formula>"Muy Baja"</formula>
    </cfRule>
  </conditionalFormatting>
  <conditionalFormatting sqref="AA19">
    <cfRule type="cellIs" dxfId="82" priority="95" operator="equal">
      <formula>"Catastrófico"</formula>
    </cfRule>
    <cfRule type="cellIs" dxfId="81" priority="96" operator="equal">
      <formula>"Mayor"</formula>
    </cfRule>
    <cfRule type="cellIs" dxfId="80" priority="97" operator="equal">
      <formula>"Moderado"</formula>
    </cfRule>
    <cfRule type="cellIs" dxfId="79" priority="98" operator="equal">
      <formula>"Menor"</formula>
    </cfRule>
    <cfRule type="cellIs" dxfId="78" priority="99" operator="equal">
      <formula>"Leve"</formula>
    </cfRule>
  </conditionalFormatting>
  <conditionalFormatting sqref="AC19">
    <cfRule type="cellIs" dxfId="77" priority="91" operator="equal">
      <formula>"Extremo"</formula>
    </cfRule>
    <cfRule type="cellIs" dxfId="76" priority="92" operator="equal">
      <formula>"Alto"</formula>
    </cfRule>
    <cfRule type="cellIs" dxfId="75" priority="93" operator="equal">
      <formula>"Moderado"</formula>
    </cfRule>
    <cfRule type="cellIs" dxfId="74" priority="94" operator="equal">
      <formula>"Bajo"</formula>
    </cfRule>
  </conditionalFormatting>
  <conditionalFormatting sqref="H25">
    <cfRule type="cellIs" dxfId="73" priority="86" operator="equal">
      <formula>"Muy Alta"</formula>
    </cfRule>
    <cfRule type="cellIs" dxfId="72" priority="87" operator="equal">
      <formula>"Alta"</formula>
    </cfRule>
    <cfRule type="cellIs" dxfId="71" priority="88" operator="equal">
      <formula>"Media"</formula>
    </cfRule>
    <cfRule type="cellIs" dxfId="70" priority="89" operator="equal">
      <formula>"Baja"</formula>
    </cfRule>
    <cfRule type="cellIs" dxfId="69" priority="90" operator="equal">
      <formula>"Muy Baja"</formula>
    </cfRule>
  </conditionalFormatting>
  <conditionalFormatting sqref="N25">
    <cfRule type="cellIs" dxfId="68" priority="77" operator="equal">
      <formula>"Extremo"</formula>
    </cfRule>
    <cfRule type="cellIs" dxfId="67" priority="78" operator="equal">
      <formula>"Alto"</formula>
    </cfRule>
    <cfRule type="cellIs" dxfId="66" priority="79" operator="equal">
      <formula>"Moderado"</formula>
    </cfRule>
    <cfRule type="cellIs" dxfId="65" priority="80" operator="equal">
      <formula>"Bajo"</formula>
    </cfRule>
  </conditionalFormatting>
  <conditionalFormatting sqref="Y25:Y30">
    <cfRule type="cellIs" dxfId="64" priority="72" operator="equal">
      <formula>"Muy Alta"</formula>
    </cfRule>
    <cfRule type="cellIs" dxfId="63" priority="73" operator="equal">
      <formula>"Alta"</formula>
    </cfRule>
    <cfRule type="cellIs" dxfId="62" priority="74" operator="equal">
      <formula>"Media"</formula>
    </cfRule>
    <cfRule type="cellIs" dxfId="61" priority="75" operator="equal">
      <formula>"Baja"</formula>
    </cfRule>
    <cfRule type="cellIs" dxfId="60" priority="76" operator="equal">
      <formula>"Muy Baja"</formula>
    </cfRule>
  </conditionalFormatting>
  <conditionalFormatting sqref="AA25:AA30">
    <cfRule type="cellIs" dxfId="59" priority="67" operator="equal">
      <formula>"Catastrófico"</formula>
    </cfRule>
    <cfRule type="cellIs" dxfId="58" priority="68" operator="equal">
      <formula>"Mayor"</formula>
    </cfRule>
    <cfRule type="cellIs" dxfId="57" priority="69" operator="equal">
      <formula>"Moderado"</formula>
    </cfRule>
    <cfRule type="cellIs" dxfId="56" priority="70" operator="equal">
      <formula>"Menor"</formula>
    </cfRule>
    <cfRule type="cellIs" dxfId="55" priority="71" operator="equal">
      <formula>"Leve"</formula>
    </cfRule>
  </conditionalFormatting>
  <conditionalFormatting sqref="AC25:AC30">
    <cfRule type="cellIs" dxfId="54" priority="63" operator="equal">
      <formula>"Extremo"</formula>
    </cfRule>
    <cfRule type="cellIs" dxfId="53" priority="64" operator="equal">
      <formula>"Alto"</formula>
    </cfRule>
    <cfRule type="cellIs" dxfId="52" priority="65" operator="equal">
      <formula>"Moderado"</formula>
    </cfRule>
    <cfRule type="cellIs" dxfId="51" priority="66" operator="equal">
      <formula>"Bajo"</formula>
    </cfRule>
  </conditionalFormatting>
  <conditionalFormatting sqref="N31">
    <cfRule type="cellIs" dxfId="50" priority="49" operator="equal">
      <formula>"Extremo"</formula>
    </cfRule>
    <cfRule type="cellIs" dxfId="49" priority="50" operator="equal">
      <formula>"Alto"</formula>
    </cfRule>
    <cfRule type="cellIs" dxfId="48" priority="51" operator="equal">
      <formula>"Moderado"</formula>
    </cfRule>
    <cfRule type="cellIs" dxfId="47" priority="52" operator="equal">
      <formula>"Bajo"</formula>
    </cfRule>
  </conditionalFormatting>
  <conditionalFormatting sqref="Y31:Y36">
    <cfRule type="cellIs" dxfId="46" priority="44" operator="equal">
      <formula>"Muy Alta"</formula>
    </cfRule>
    <cfRule type="cellIs" dxfId="45" priority="45" operator="equal">
      <formula>"Alta"</formula>
    </cfRule>
    <cfRule type="cellIs" dxfId="44" priority="46" operator="equal">
      <formula>"Media"</formula>
    </cfRule>
    <cfRule type="cellIs" dxfId="43" priority="47" operator="equal">
      <formula>"Baja"</formula>
    </cfRule>
    <cfRule type="cellIs" dxfId="42" priority="48" operator="equal">
      <formula>"Muy Baja"</formula>
    </cfRule>
  </conditionalFormatting>
  <conditionalFormatting sqref="AA31:AA36">
    <cfRule type="cellIs" dxfId="41" priority="39" operator="equal">
      <formula>"Catastrófico"</formula>
    </cfRule>
    <cfRule type="cellIs" dxfId="40" priority="40" operator="equal">
      <formula>"Mayor"</formula>
    </cfRule>
    <cfRule type="cellIs" dxfId="39" priority="41" operator="equal">
      <formula>"Moderado"</formula>
    </cfRule>
    <cfRule type="cellIs" dxfId="38" priority="42" operator="equal">
      <formula>"Menor"</formula>
    </cfRule>
    <cfRule type="cellIs" dxfId="37" priority="43" operator="equal">
      <formula>"Leve"</formula>
    </cfRule>
  </conditionalFormatting>
  <conditionalFormatting sqref="AC31:AC36">
    <cfRule type="cellIs" dxfId="36" priority="35" operator="equal">
      <formula>"Extremo"</formula>
    </cfRule>
    <cfRule type="cellIs" dxfId="35" priority="36" operator="equal">
      <formula>"Alto"</formula>
    </cfRule>
    <cfRule type="cellIs" dxfId="34" priority="37" operator="equal">
      <formula>"Moderado"</formula>
    </cfRule>
    <cfRule type="cellIs" dxfId="33" priority="38" operator="equal">
      <formula>"Bajo"</formula>
    </cfRule>
  </conditionalFormatting>
  <conditionalFormatting sqref="H37">
    <cfRule type="cellIs" dxfId="32" priority="30" operator="equal">
      <formula>"Muy Alta"</formula>
    </cfRule>
    <cfRule type="cellIs" dxfId="31" priority="31" operator="equal">
      <formula>"Alta"</formula>
    </cfRule>
    <cfRule type="cellIs" dxfId="30" priority="32" operator="equal">
      <formula>"Media"</formula>
    </cfRule>
    <cfRule type="cellIs" dxfId="29" priority="33" operator="equal">
      <formula>"Baja"</formula>
    </cfRule>
    <cfRule type="cellIs" dxfId="28" priority="34" operator="equal">
      <formula>"Muy Baja"</formula>
    </cfRule>
  </conditionalFormatting>
  <conditionalFormatting sqref="N37">
    <cfRule type="cellIs" dxfId="27" priority="21" operator="equal">
      <formula>"Extremo"</formula>
    </cfRule>
    <cfRule type="cellIs" dxfId="26" priority="22" operator="equal">
      <formula>"Alto"</formula>
    </cfRule>
    <cfRule type="cellIs" dxfId="25" priority="23" operator="equal">
      <formula>"Moderado"</formula>
    </cfRule>
    <cfRule type="cellIs" dxfId="24" priority="24" operator="equal">
      <formula>"Bajo"</formula>
    </cfRule>
  </conditionalFormatting>
  <conditionalFormatting sqref="Y37:Y42">
    <cfRule type="cellIs" dxfId="23" priority="16" operator="equal">
      <formula>"Muy Alta"</formula>
    </cfRule>
    <cfRule type="cellIs" dxfId="22" priority="17" operator="equal">
      <formula>"Alta"</formula>
    </cfRule>
    <cfRule type="cellIs" dxfId="21" priority="18" operator="equal">
      <formula>"Media"</formula>
    </cfRule>
    <cfRule type="cellIs" dxfId="20" priority="19" operator="equal">
      <formula>"Baja"</formula>
    </cfRule>
    <cfRule type="cellIs" dxfId="19" priority="20" operator="equal">
      <formula>"Muy Baja"</formula>
    </cfRule>
  </conditionalFormatting>
  <conditionalFormatting sqref="AA37:AA42">
    <cfRule type="cellIs" dxfId="18" priority="11" operator="equal">
      <formula>"Catastrófico"</formula>
    </cfRule>
    <cfRule type="cellIs" dxfId="17" priority="12" operator="equal">
      <formula>"Mayor"</formula>
    </cfRule>
    <cfRule type="cellIs" dxfId="16" priority="13" operator="equal">
      <formula>"Moderado"</formula>
    </cfRule>
    <cfRule type="cellIs" dxfId="15" priority="14" operator="equal">
      <formula>"Menor"</formula>
    </cfRule>
    <cfRule type="cellIs" dxfId="14" priority="15" operator="equal">
      <formula>"Leve"</formula>
    </cfRule>
  </conditionalFormatting>
  <conditionalFormatting sqref="AC37:AC42">
    <cfRule type="cellIs" dxfId="13" priority="7" operator="equal">
      <formula>"Extremo"</formula>
    </cfRule>
    <cfRule type="cellIs" dxfId="12" priority="8" operator="equal">
      <formula>"Alto"</formula>
    </cfRule>
    <cfRule type="cellIs" dxfId="11" priority="9" operator="equal">
      <formula>"Moderado"</formula>
    </cfRule>
    <cfRule type="cellIs" dxfId="10" priority="10" operator="equal">
      <formula>"Bajo"</formula>
    </cfRule>
  </conditionalFormatting>
  <conditionalFormatting sqref="K10:K42">
    <cfRule type="containsText" dxfId="9" priority="6" operator="containsText" text="❌">
      <formula>NOT(ISERROR(SEARCH("❌",K10)))</formula>
    </cfRule>
  </conditionalFormatting>
  <conditionalFormatting sqref="H10">
    <cfRule type="cellIs" dxfId="8" priority="1" operator="equal">
      <formula>"Muy Alta"</formula>
    </cfRule>
    <cfRule type="cellIs" dxfId="7" priority="2" operator="equal">
      <formula>"Alta"</formula>
    </cfRule>
    <cfRule type="cellIs" dxfId="6" priority="3" operator="equal">
      <formula>"Media"</formula>
    </cfRule>
    <cfRule type="cellIs" dxfId="5" priority="4" operator="equal">
      <formula>"Baja"</formula>
    </cfRule>
    <cfRule type="cellIs" dxfId="4" priority="5" operator="equal">
      <formula>"Muy Baja"</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'Opciones Tratamiento'!$B$9:$B$10</xm:f>
          </x14:formula1>
          <xm:sqref>AJ16:AJ17 AJ19:AJ20 AJ22:AJ23 AJ25:AJ26 AJ28:AJ29 AJ31:AJ32 AJ34:AJ35 AJ37:AJ38 AJ40:AJ41 AJ10:AJ14</xm:sqref>
        </x14:dataValidation>
        <x14:dataValidation type="list" allowBlank="1" showInputMessage="1" showErrorMessage="1" xr:uid="{00000000-0002-0000-0100-000001000000}">
          <x14:formula1>
            <xm:f>'Tabla Valoración controles'!$D$4:$D$6</xm:f>
          </x14:formula1>
          <xm:sqref>R10:R13 R19 R25:R42</xm:sqref>
        </x14:dataValidation>
        <x14:dataValidation type="list" allowBlank="1" showInputMessage="1" showErrorMessage="1" xr:uid="{00000000-0002-0000-0100-000002000000}">
          <x14:formula1>
            <xm:f>'Tabla Valoración controles'!$D$7:$D$8</xm:f>
          </x14:formula1>
          <xm:sqref>S10:S13 S19 S25:S42</xm:sqref>
        </x14:dataValidation>
        <x14:dataValidation type="list" allowBlank="1" showInputMessage="1" showErrorMessage="1" xr:uid="{00000000-0002-0000-0100-000003000000}">
          <x14:formula1>
            <xm:f>'Tabla Valoración controles'!$D$9:$D$10</xm:f>
          </x14:formula1>
          <xm:sqref>U10:U13 U19 U25:U42</xm:sqref>
        </x14:dataValidation>
        <x14:dataValidation type="list" allowBlank="1" showInputMessage="1" showErrorMessage="1" xr:uid="{00000000-0002-0000-0100-000004000000}">
          <x14:formula1>
            <xm:f>'Tabla Valoración controles'!$D$11:$D$12</xm:f>
          </x14:formula1>
          <xm:sqref>V10:V13 V19 V25:V42</xm:sqref>
        </x14:dataValidation>
        <x14:dataValidation type="list" allowBlank="1" showInputMessage="1" showErrorMessage="1" xr:uid="{00000000-0002-0000-0100-000005000000}">
          <x14:formula1>
            <xm:f>'Tabla Valoración controles'!$D$13:$D$14</xm:f>
          </x14:formula1>
          <xm:sqref>W10:W13 W19 W25:W42</xm:sqref>
        </x14:dataValidation>
        <x14:dataValidation type="list" allowBlank="1" showInputMessage="1" showErrorMessage="1" xr:uid="{00000000-0002-0000-0100-000006000000}">
          <x14:formula1>
            <xm:f>'Opciones Tratamiento'!$B$13:$B$19</xm:f>
          </x14:formula1>
          <xm:sqref>F10:F42</xm:sqref>
        </x14:dataValidation>
        <x14:dataValidation type="list" allowBlank="1" showInputMessage="1" showErrorMessage="1" xr:uid="{00000000-0002-0000-0100-000007000000}">
          <x14:formula1>
            <xm:f>'Opciones Tratamiento'!$E$2:$E$4</xm:f>
          </x14:formula1>
          <xm:sqref>B10:B42</xm:sqref>
        </x14:dataValidation>
        <x14:dataValidation type="list" allowBlank="1" showInputMessage="1" showErrorMessage="1" xr:uid="{00000000-0002-0000-0100-000008000000}">
          <x14:formula1>
            <xm:f>'Opciones Tratamiento'!$B$2:$B$5</xm:f>
          </x14:formula1>
          <xm:sqref>AD10:AD13 AD19 AD25:AD42</xm:sqref>
        </x14:dataValidation>
        <x14:dataValidation type="list" allowBlank="1" showInputMessage="1" showErrorMessage="1" xr:uid="{00000000-0002-0000-0100-000009000000}">
          <x14:formula1>
            <xm:f>'Tabla Impacto'!$F$210:$F$221</xm:f>
          </x14:formula1>
          <xm:sqref>J10:J42</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AE10:AE13 AE19 AE25:AE42</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AF10:AF13 AF19 AF25:AF42</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AG10:AG42</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AH10:AH42</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50" zoomScaleNormal="50" workbookViewId="0">
      <selection activeCell="AY41" sqref="AY41"/>
    </sheetView>
  </sheetViews>
  <sheetFormatPr baseColWidth="10" defaultRowHeight="15" x14ac:dyDescent="0.25"/>
  <cols>
    <col min="2" max="39" width="5.7109375" customWidth="1"/>
    <col min="41" max="46" width="5.7109375" customWidth="1"/>
  </cols>
  <sheetData>
    <row r="1" spans="1:99"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x14ac:dyDescent="0.25">
      <c r="A2" s="84"/>
      <c r="B2" s="382" t="s">
        <v>161</v>
      </c>
      <c r="C2" s="382"/>
      <c r="D2" s="382"/>
      <c r="E2" s="382"/>
      <c r="F2" s="382"/>
      <c r="G2" s="382"/>
      <c r="H2" s="382"/>
      <c r="I2" s="382"/>
      <c r="J2" s="349" t="s">
        <v>2</v>
      </c>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c r="AL2" s="349"/>
      <c r="AM2" s="349"/>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x14ac:dyDescent="0.25">
      <c r="A3" s="84"/>
      <c r="B3" s="382"/>
      <c r="C3" s="382"/>
      <c r="D3" s="382"/>
      <c r="E3" s="382"/>
      <c r="F3" s="382"/>
      <c r="G3" s="382"/>
      <c r="H3" s="382"/>
      <c r="I3" s="382"/>
      <c r="J3" s="349"/>
      <c r="K3" s="349"/>
      <c r="L3" s="349"/>
      <c r="M3" s="349"/>
      <c r="N3" s="349"/>
      <c r="O3" s="349"/>
      <c r="P3" s="349"/>
      <c r="Q3" s="349"/>
      <c r="R3" s="349"/>
      <c r="S3" s="349"/>
      <c r="T3" s="349"/>
      <c r="U3" s="349"/>
      <c r="V3" s="349"/>
      <c r="W3" s="349"/>
      <c r="X3" s="349"/>
      <c r="Y3" s="349"/>
      <c r="Z3" s="349"/>
      <c r="AA3" s="349"/>
      <c r="AB3" s="349"/>
      <c r="AC3" s="349"/>
      <c r="AD3" s="349"/>
      <c r="AE3" s="349"/>
      <c r="AF3" s="349"/>
      <c r="AG3" s="349"/>
      <c r="AH3" s="349"/>
      <c r="AI3" s="349"/>
      <c r="AJ3" s="349"/>
      <c r="AK3" s="349"/>
      <c r="AL3" s="349"/>
      <c r="AM3" s="349"/>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x14ac:dyDescent="0.25">
      <c r="A4" s="84"/>
      <c r="B4" s="382"/>
      <c r="C4" s="382"/>
      <c r="D4" s="382"/>
      <c r="E4" s="382"/>
      <c r="F4" s="382"/>
      <c r="G4" s="382"/>
      <c r="H4" s="382"/>
      <c r="I4" s="382"/>
      <c r="J4" s="349"/>
      <c r="K4" s="349"/>
      <c r="L4" s="349"/>
      <c r="M4" s="349"/>
      <c r="N4" s="349"/>
      <c r="O4" s="349"/>
      <c r="P4" s="349"/>
      <c r="Q4" s="349"/>
      <c r="R4" s="349"/>
      <c r="S4" s="349"/>
      <c r="T4" s="349"/>
      <c r="U4" s="349"/>
      <c r="V4" s="349"/>
      <c r="W4" s="349"/>
      <c r="X4" s="349"/>
      <c r="Y4" s="349"/>
      <c r="Z4" s="349"/>
      <c r="AA4" s="349"/>
      <c r="AB4" s="349"/>
      <c r="AC4" s="349"/>
      <c r="AD4" s="349"/>
      <c r="AE4" s="349"/>
      <c r="AF4" s="349"/>
      <c r="AG4" s="349"/>
      <c r="AH4" s="349"/>
      <c r="AI4" s="349"/>
      <c r="AJ4" s="349"/>
      <c r="AK4" s="349"/>
      <c r="AL4" s="349"/>
      <c r="AM4" s="349"/>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x14ac:dyDescent="0.25">
      <c r="A6" s="84"/>
      <c r="B6" s="295" t="s">
        <v>4</v>
      </c>
      <c r="C6" s="295"/>
      <c r="D6" s="296"/>
      <c r="E6" s="333" t="s">
        <v>116</v>
      </c>
      <c r="F6" s="334"/>
      <c r="G6" s="334"/>
      <c r="H6" s="334"/>
      <c r="I6" s="335"/>
      <c r="J6" s="345" t="str">
        <f>IF(AND('Mapa final'!$H$10="Muy Alta",'Mapa final'!$L$10="Leve"),CONCATENATE("R",'Mapa final'!$A$10),"")</f>
        <v/>
      </c>
      <c r="K6" s="346"/>
      <c r="L6" s="346" t="e">
        <f>IF(AND('Mapa final'!#REF!="Muy Alta",'Mapa final'!#REF!="Leve"),CONCATENATE("R",'Mapa final'!#REF!),"")</f>
        <v>#REF!</v>
      </c>
      <c r="M6" s="346"/>
      <c r="N6" s="346" t="e">
        <f>IF(AND('Mapa final'!#REF!="Muy Alta",'Mapa final'!#REF!="Leve"),CONCATENATE("R",'Mapa final'!#REF!),"")</f>
        <v>#REF!</v>
      </c>
      <c r="O6" s="348"/>
      <c r="P6" s="345" t="str">
        <f>IF(AND('Mapa final'!$H$10="Muy Alta",'Mapa final'!$L$10="Menor"),CONCATENATE("R",'Mapa final'!$A$10),"")</f>
        <v/>
      </c>
      <c r="Q6" s="346"/>
      <c r="R6" s="346" t="e">
        <f>IF(AND('Mapa final'!#REF!="Muy Alta",'Mapa final'!#REF!="Menor"),CONCATENATE("R",'Mapa final'!#REF!),"")</f>
        <v>#REF!</v>
      </c>
      <c r="S6" s="346"/>
      <c r="T6" s="346" t="e">
        <f>IF(AND('Mapa final'!#REF!="Muy Alta",'Mapa final'!#REF!="Menor"),CONCATENATE("R",'Mapa final'!#REF!),"")</f>
        <v>#REF!</v>
      </c>
      <c r="U6" s="348"/>
      <c r="V6" s="345" t="str">
        <f>IF(AND('Mapa final'!$H$10="Muy Alta",'Mapa final'!$L$10="Moderado"),CONCATENATE("R",'Mapa final'!$A$10),"")</f>
        <v/>
      </c>
      <c r="W6" s="346"/>
      <c r="X6" s="346" t="e">
        <f>IF(AND('Mapa final'!#REF!="Muy Alta",'Mapa final'!#REF!="Moderado"),CONCATENATE("R",'Mapa final'!#REF!),"")</f>
        <v>#REF!</v>
      </c>
      <c r="Y6" s="346"/>
      <c r="Z6" s="346" t="e">
        <f>IF(AND('Mapa final'!#REF!="Muy Alta",'Mapa final'!#REF!="Moderado"),CONCATENATE("R",'Mapa final'!#REF!),"")</f>
        <v>#REF!</v>
      </c>
      <c r="AA6" s="348"/>
      <c r="AB6" s="345" t="str">
        <f>IF(AND('Mapa final'!$H$10="Muy Alta",'Mapa final'!$L$10="Mayor"),CONCATENATE("R",'Mapa final'!$A$10),"")</f>
        <v/>
      </c>
      <c r="AC6" s="346"/>
      <c r="AD6" s="346" t="e">
        <f>IF(AND('Mapa final'!#REF!="Muy Alta",'Mapa final'!#REF!="Mayor"),CONCATENATE("R",'Mapa final'!#REF!),"")</f>
        <v>#REF!</v>
      </c>
      <c r="AE6" s="346"/>
      <c r="AF6" s="346" t="e">
        <f>IF(AND('Mapa final'!#REF!="Muy Alta",'Mapa final'!#REF!="Mayor"),CONCATENATE("R",'Mapa final'!#REF!),"")</f>
        <v>#REF!</v>
      </c>
      <c r="AG6" s="348"/>
      <c r="AH6" s="361" t="str">
        <f>IF(AND('Mapa final'!$H$10="Muy Alta",'Mapa final'!$L$10="Catastrófico"),CONCATENATE("R",'Mapa final'!$A$10),"")</f>
        <v/>
      </c>
      <c r="AI6" s="362"/>
      <c r="AJ6" s="362" t="e">
        <f>IF(AND('Mapa final'!#REF!="Muy Alta",'Mapa final'!#REF!="Catastrófico"),CONCATENATE("R",'Mapa final'!#REF!),"")</f>
        <v>#REF!</v>
      </c>
      <c r="AK6" s="362"/>
      <c r="AL6" s="362" t="e">
        <f>IF(AND('Mapa final'!#REF!="Muy Alta",'Mapa final'!#REF!="Catastrófico"),CONCATENATE("R",'Mapa final'!#REF!),"")</f>
        <v>#REF!</v>
      </c>
      <c r="AM6" s="363"/>
      <c r="AO6" s="297" t="s">
        <v>79</v>
      </c>
      <c r="AP6" s="298"/>
      <c r="AQ6" s="298"/>
      <c r="AR6" s="298"/>
      <c r="AS6" s="298"/>
      <c r="AT6" s="299"/>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x14ac:dyDescent="0.25">
      <c r="A7" s="84"/>
      <c r="B7" s="295"/>
      <c r="C7" s="295"/>
      <c r="D7" s="296"/>
      <c r="E7" s="336"/>
      <c r="F7" s="337"/>
      <c r="G7" s="337"/>
      <c r="H7" s="337"/>
      <c r="I7" s="338"/>
      <c r="J7" s="347"/>
      <c r="K7" s="344"/>
      <c r="L7" s="344"/>
      <c r="M7" s="344"/>
      <c r="N7" s="344"/>
      <c r="O7" s="343"/>
      <c r="P7" s="347"/>
      <c r="Q7" s="344"/>
      <c r="R7" s="344"/>
      <c r="S7" s="344"/>
      <c r="T7" s="344"/>
      <c r="U7" s="343"/>
      <c r="V7" s="347"/>
      <c r="W7" s="344"/>
      <c r="X7" s="344"/>
      <c r="Y7" s="344"/>
      <c r="Z7" s="344"/>
      <c r="AA7" s="343"/>
      <c r="AB7" s="347"/>
      <c r="AC7" s="344"/>
      <c r="AD7" s="344"/>
      <c r="AE7" s="344"/>
      <c r="AF7" s="344"/>
      <c r="AG7" s="343"/>
      <c r="AH7" s="355"/>
      <c r="AI7" s="356"/>
      <c r="AJ7" s="356"/>
      <c r="AK7" s="356"/>
      <c r="AL7" s="356"/>
      <c r="AM7" s="357"/>
      <c r="AN7" s="84"/>
      <c r="AO7" s="300"/>
      <c r="AP7" s="301"/>
      <c r="AQ7" s="301"/>
      <c r="AR7" s="301"/>
      <c r="AS7" s="301"/>
      <c r="AT7" s="302"/>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x14ac:dyDescent="0.25">
      <c r="A8" s="84"/>
      <c r="B8" s="295"/>
      <c r="C8" s="295"/>
      <c r="D8" s="296"/>
      <c r="E8" s="336"/>
      <c r="F8" s="337"/>
      <c r="G8" s="337"/>
      <c r="H8" s="337"/>
      <c r="I8" s="338"/>
      <c r="J8" s="347" t="str">
        <f>IF(AND('Mapa final'!$H$12="Muy Alta",'Mapa final'!$L$12="Leve"),CONCATENATE("R",'Mapa final'!$A$12),"")</f>
        <v/>
      </c>
      <c r="K8" s="344"/>
      <c r="L8" s="342" t="e">
        <f>IF(AND('Mapa final'!#REF!="Muy Alta",'Mapa final'!#REF!="Leve"),CONCATENATE("R",'Mapa final'!#REF!),"")</f>
        <v>#REF!</v>
      </c>
      <c r="M8" s="342"/>
      <c r="N8" s="342" t="str">
        <f>IF(AND('Mapa final'!$H$13="Muy Alta",'Mapa final'!$L$13="Leve"),CONCATENATE("R",'Mapa final'!$A$13),"")</f>
        <v/>
      </c>
      <c r="O8" s="343"/>
      <c r="P8" s="347" t="str">
        <f>IF(AND('Mapa final'!$H$12="Muy Alta",'Mapa final'!$L$12="Menor"),CONCATENATE("R",'Mapa final'!$A$12),"")</f>
        <v/>
      </c>
      <c r="Q8" s="344"/>
      <c r="R8" s="342" t="e">
        <f>IF(AND('Mapa final'!#REF!="Muy Alta",'Mapa final'!#REF!="Menor"),CONCATENATE("R",'Mapa final'!#REF!),"")</f>
        <v>#REF!</v>
      </c>
      <c r="S8" s="342"/>
      <c r="T8" s="342" t="str">
        <f>IF(AND('Mapa final'!$H$13="Muy Alta",'Mapa final'!$L$13="Menor"),CONCATENATE("R",'Mapa final'!$A$13),"")</f>
        <v/>
      </c>
      <c r="U8" s="343"/>
      <c r="V8" s="347" t="str">
        <f>IF(AND('Mapa final'!$H$12="Muy Alta",'Mapa final'!$L$12="Moderado"),CONCATENATE("R",'Mapa final'!$A$12),"")</f>
        <v/>
      </c>
      <c r="W8" s="344"/>
      <c r="X8" s="342" t="e">
        <f>IF(AND('Mapa final'!#REF!="Muy Alta",'Mapa final'!#REF!="Moderado"),CONCATENATE("R",'Mapa final'!#REF!),"")</f>
        <v>#REF!</v>
      </c>
      <c r="Y8" s="342"/>
      <c r="Z8" s="342" t="str">
        <f>IF(AND('Mapa final'!$H$13="Muy Alta",'Mapa final'!$L$13="Moderado"),CONCATENATE("R",'Mapa final'!$A$13),"")</f>
        <v/>
      </c>
      <c r="AA8" s="343"/>
      <c r="AB8" s="347" t="str">
        <f>IF(AND('Mapa final'!$H$12="Muy Alta",'Mapa final'!$L$12="Mayor"),CONCATENATE("R",'Mapa final'!$A$12),"")</f>
        <v/>
      </c>
      <c r="AC8" s="344"/>
      <c r="AD8" s="342" t="e">
        <f>IF(AND('Mapa final'!#REF!="Muy Alta",'Mapa final'!#REF!="Mayor"),CONCATENATE("R",'Mapa final'!#REF!),"")</f>
        <v>#REF!</v>
      </c>
      <c r="AE8" s="342"/>
      <c r="AF8" s="342" t="str">
        <f>IF(AND('Mapa final'!$H$13="Muy Alta",'Mapa final'!$L$13="Mayor"),CONCATENATE("R",'Mapa final'!$A$13),"")</f>
        <v/>
      </c>
      <c r="AG8" s="343"/>
      <c r="AH8" s="355" t="str">
        <f>IF(AND('Mapa final'!$H$12="Muy Alta",'Mapa final'!$L$12="Catastrófico"),CONCATENATE("R",'Mapa final'!$A$12),"")</f>
        <v/>
      </c>
      <c r="AI8" s="356"/>
      <c r="AJ8" s="356" t="e">
        <f>IF(AND('Mapa final'!#REF!="Muy Alta",'Mapa final'!#REF!="Catastrófico"),CONCATENATE("R",'Mapa final'!#REF!),"")</f>
        <v>#REF!</v>
      </c>
      <c r="AK8" s="356"/>
      <c r="AL8" s="356" t="str">
        <f>IF(AND('Mapa final'!$H$13="Muy Alta",'Mapa final'!$L$13="Catastrófico"),CONCATENATE("R",'Mapa final'!$A$13),"")</f>
        <v/>
      </c>
      <c r="AM8" s="357"/>
      <c r="AN8" s="84"/>
      <c r="AO8" s="300"/>
      <c r="AP8" s="301"/>
      <c r="AQ8" s="301"/>
      <c r="AR8" s="301"/>
      <c r="AS8" s="301"/>
      <c r="AT8" s="302"/>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x14ac:dyDescent="0.25">
      <c r="A9" s="84"/>
      <c r="B9" s="295"/>
      <c r="C9" s="295"/>
      <c r="D9" s="296"/>
      <c r="E9" s="336"/>
      <c r="F9" s="337"/>
      <c r="G9" s="337"/>
      <c r="H9" s="337"/>
      <c r="I9" s="338"/>
      <c r="J9" s="347"/>
      <c r="K9" s="344"/>
      <c r="L9" s="342"/>
      <c r="M9" s="342"/>
      <c r="N9" s="342"/>
      <c r="O9" s="343"/>
      <c r="P9" s="347"/>
      <c r="Q9" s="344"/>
      <c r="R9" s="342"/>
      <c r="S9" s="342"/>
      <c r="T9" s="342"/>
      <c r="U9" s="343"/>
      <c r="V9" s="347"/>
      <c r="W9" s="344"/>
      <c r="X9" s="342"/>
      <c r="Y9" s="342"/>
      <c r="Z9" s="342"/>
      <c r="AA9" s="343"/>
      <c r="AB9" s="347"/>
      <c r="AC9" s="344"/>
      <c r="AD9" s="342"/>
      <c r="AE9" s="342"/>
      <c r="AF9" s="342"/>
      <c r="AG9" s="343"/>
      <c r="AH9" s="355"/>
      <c r="AI9" s="356"/>
      <c r="AJ9" s="356"/>
      <c r="AK9" s="356"/>
      <c r="AL9" s="356"/>
      <c r="AM9" s="357"/>
      <c r="AN9" s="84"/>
      <c r="AO9" s="300"/>
      <c r="AP9" s="301"/>
      <c r="AQ9" s="301"/>
      <c r="AR9" s="301"/>
      <c r="AS9" s="301"/>
      <c r="AT9" s="302"/>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x14ac:dyDescent="0.25">
      <c r="A10" s="84"/>
      <c r="B10" s="295"/>
      <c r="C10" s="295"/>
      <c r="D10" s="296"/>
      <c r="E10" s="336"/>
      <c r="F10" s="337"/>
      <c r="G10" s="337"/>
      <c r="H10" s="337"/>
      <c r="I10" s="338"/>
      <c r="J10" s="347" t="str">
        <f>IF(AND('Mapa final'!$H$19="Muy Alta",'Mapa final'!$L$19="Leve"),CONCATENATE("R",'Mapa final'!$A$19),"")</f>
        <v/>
      </c>
      <c r="K10" s="344"/>
      <c r="L10" s="342" t="str">
        <f>IF(AND('Mapa final'!$H$25="Muy Alta",'Mapa final'!$L$25="Leve"),CONCATENATE("R",'Mapa final'!$A$25),"")</f>
        <v/>
      </c>
      <c r="M10" s="342"/>
      <c r="N10" s="342" t="str">
        <f>IF(AND('Mapa final'!$H$31="Muy Alta",'Mapa final'!$L$31="Leve"),CONCATENATE("R",'Mapa final'!$A$31),"")</f>
        <v/>
      </c>
      <c r="O10" s="343"/>
      <c r="P10" s="347" t="str">
        <f>IF(AND('Mapa final'!$H$19="Muy Alta",'Mapa final'!$L$19="Menor"),CONCATENATE("R",'Mapa final'!$A$19),"")</f>
        <v>R5</v>
      </c>
      <c r="Q10" s="344"/>
      <c r="R10" s="342" t="str">
        <f>IF(AND('Mapa final'!$H$25="Muy Alta",'Mapa final'!$L$25="Menor"),CONCATENATE("R",'Mapa final'!$A$25),"")</f>
        <v/>
      </c>
      <c r="S10" s="342"/>
      <c r="T10" s="342" t="str">
        <f>IF(AND('Mapa final'!$H$31="Muy Alta",'Mapa final'!$L$31="Menor"),CONCATENATE("R",'Mapa final'!$A$31),"")</f>
        <v/>
      </c>
      <c r="U10" s="343"/>
      <c r="V10" s="347" t="str">
        <f>IF(AND('Mapa final'!$H$19="Muy Alta",'Mapa final'!$L$19="Moderado"),CONCATENATE("R",'Mapa final'!$A$19),"")</f>
        <v/>
      </c>
      <c r="W10" s="344"/>
      <c r="X10" s="342" t="str">
        <f>IF(AND('Mapa final'!$H$25="Muy Alta",'Mapa final'!$L$25="Moderado"),CONCATENATE("R",'Mapa final'!$A$25),"")</f>
        <v/>
      </c>
      <c r="Y10" s="342"/>
      <c r="Z10" s="342" t="str">
        <f>IF(AND('Mapa final'!$H$31="Muy Alta",'Mapa final'!$L$31="Moderado"),CONCATENATE("R",'Mapa final'!$A$31),"")</f>
        <v/>
      </c>
      <c r="AA10" s="343"/>
      <c r="AB10" s="347" t="str">
        <f>IF(AND('Mapa final'!$H$19="Muy Alta",'Mapa final'!$L$19="Mayor"),CONCATENATE("R",'Mapa final'!$A$19),"")</f>
        <v/>
      </c>
      <c r="AC10" s="344"/>
      <c r="AD10" s="342" t="str">
        <f>IF(AND('Mapa final'!$H$25="Muy Alta",'Mapa final'!$L$25="Mayor"),CONCATENATE("R",'Mapa final'!$A$25),"")</f>
        <v/>
      </c>
      <c r="AE10" s="342"/>
      <c r="AF10" s="342" t="str">
        <f>IF(AND('Mapa final'!$H$31="Muy Alta",'Mapa final'!$L$31="Mayor"),CONCATENATE("R",'Mapa final'!$A$31),"")</f>
        <v/>
      </c>
      <c r="AG10" s="343"/>
      <c r="AH10" s="355" t="str">
        <f>IF(AND('Mapa final'!$H$19="Muy Alta",'Mapa final'!$L$19="Catastrófico"),CONCATENATE("R",'Mapa final'!$A$19),"")</f>
        <v/>
      </c>
      <c r="AI10" s="356"/>
      <c r="AJ10" s="356" t="str">
        <f>IF(AND('Mapa final'!$H$25="Muy Alta",'Mapa final'!$L$25="Catastrófico"),CONCATENATE("R",'Mapa final'!$A$25),"")</f>
        <v/>
      </c>
      <c r="AK10" s="356"/>
      <c r="AL10" s="356" t="str">
        <f>IF(AND('Mapa final'!$H$31="Muy Alta",'Mapa final'!$L$31="Catastrófico"),CONCATENATE("R",'Mapa final'!$A$31),"")</f>
        <v/>
      </c>
      <c r="AM10" s="357"/>
      <c r="AN10" s="84"/>
      <c r="AO10" s="300"/>
      <c r="AP10" s="301"/>
      <c r="AQ10" s="301"/>
      <c r="AR10" s="301"/>
      <c r="AS10" s="301"/>
      <c r="AT10" s="302"/>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x14ac:dyDescent="0.25">
      <c r="A11" s="84"/>
      <c r="B11" s="295"/>
      <c r="C11" s="295"/>
      <c r="D11" s="296"/>
      <c r="E11" s="336"/>
      <c r="F11" s="337"/>
      <c r="G11" s="337"/>
      <c r="H11" s="337"/>
      <c r="I11" s="338"/>
      <c r="J11" s="347"/>
      <c r="K11" s="344"/>
      <c r="L11" s="342"/>
      <c r="M11" s="342"/>
      <c r="N11" s="342"/>
      <c r="O11" s="343"/>
      <c r="P11" s="347"/>
      <c r="Q11" s="344"/>
      <c r="R11" s="342"/>
      <c r="S11" s="342"/>
      <c r="T11" s="342"/>
      <c r="U11" s="343"/>
      <c r="V11" s="347"/>
      <c r="W11" s="344"/>
      <c r="X11" s="342"/>
      <c r="Y11" s="342"/>
      <c r="Z11" s="342"/>
      <c r="AA11" s="343"/>
      <c r="AB11" s="347"/>
      <c r="AC11" s="344"/>
      <c r="AD11" s="342"/>
      <c r="AE11" s="342"/>
      <c r="AF11" s="342"/>
      <c r="AG11" s="343"/>
      <c r="AH11" s="355"/>
      <c r="AI11" s="356"/>
      <c r="AJ11" s="356"/>
      <c r="AK11" s="356"/>
      <c r="AL11" s="356"/>
      <c r="AM11" s="357"/>
      <c r="AN11" s="84"/>
      <c r="AO11" s="300"/>
      <c r="AP11" s="301"/>
      <c r="AQ11" s="301"/>
      <c r="AR11" s="301"/>
      <c r="AS11" s="301"/>
      <c r="AT11" s="302"/>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x14ac:dyDescent="0.25">
      <c r="A12" s="84"/>
      <c r="B12" s="295"/>
      <c r="C12" s="295"/>
      <c r="D12" s="296"/>
      <c r="E12" s="336"/>
      <c r="F12" s="337"/>
      <c r="G12" s="337"/>
      <c r="H12" s="337"/>
      <c r="I12" s="338"/>
      <c r="J12" s="347" t="str">
        <f>IF(AND('Mapa final'!$H$37="Muy Alta",'Mapa final'!$L$37="Leve"),CONCATENATE("R",'Mapa final'!$A$37),"")</f>
        <v/>
      </c>
      <c r="K12" s="344"/>
      <c r="L12" s="342" t="str">
        <f>IF(AND('Mapa final'!$H$43="Muy Alta",'Mapa final'!$L$43="Leve"),CONCATENATE("R",'Mapa final'!$A$43),"")</f>
        <v/>
      </c>
      <c r="M12" s="342"/>
      <c r="N12" s="342" t="str">
        <f>IF(AND('Mapa final'!$H$49="Muy Alta",'Mapa final'!$L$49="Leve"),CONCATENATE("R",'Mapa final'!$A$49),"")</f>
        <v/>
      </c>
      <c r="O12" s="343"/>
      <c r="P12" s="347" t="str">
        <f>IF(AND('Mapa final'!$H$37="Muy Alta",'Mapa final'!$L$37="Menor"),CONCATENATE("R",'Mapa final'!$A$37),"")</f>
        <v/>
      </c>
      <c r="Q12" s="344"/>
      <c r="R12" s="342" t="str">
        <f>IF(AND('Mapa final'!$H$43="Muy Alta",'Mapa final'!$L$43="Menor"),CONCATENATE("R",'Mapa final'!$A$43),"")</f>
        <v/>
      </c>
      <c r="S12" s="342"/>
      <c r="T12" s="342" t="str">
        <f>IF(AND('Mapa final'!$H$49="Muy Alta",'Mapa final'!$L$49="Menor"),CONCATENATE("R",'Mapa final'!$A$49),"")</f>
        <v/>
      </c>
      <c r="U12" s="343"/>
      <c r="V12" s="347" t="str">
        <f>IF(AND('Mapa final'!$H$37="Muy Alta",'Mapa final'!$L$37="Moderado"),CONCATENATE("R",'Mapa final'!$A$37),"")</f>
        <v/>
      </c>
      <c r="W12" s="344"/>
      <c r="X12" s="342" t="str">
        <f>IF(AND('Mapa final'!$H$43="Muy Alta",'Mapa final'!$L$43="Moderado"),CONCATENATE("R",'Mapa final'!$A$43),"")</f>
        <v/>
      </c>
      <c r="Y12" s="342"/>
      <c r="Z12" s="342" t="str">
        <f>IF(AND('Mapa final'!$H$49="Muy Alta",'Mapa final'!$L$49="Moderado"),CONCATENATE("R",'Mapa final'!$A$49),"")</f>
        <v/>
      </c>
      <c r="AA12" s="343"/>
      <c r="AB12" s="347" t="str">
        <f>IF(AND('Mapa final'!$H$37="Muy Alta",'Mapa final'!$L$37="Mayor"),CONCATENATE("R",'Mapa final'!$A$37),"")</f>
        <v/>
      </c>
      <c r="AC12" s="344"/>
      <c r="AD12" s="342" t="str">
        <f>IF(AND('Mapa final'!$H$43="Muy Alta",'Mapa final'!$L$43="Mayor"),CONCATENATE("R",'Mapa final'!$A$43),"")</f>
        <v/>
      </c>
      <c r="AE12" s="342"/>
      <c r="AF12" s="342" t="str">
        <f>IF(AND('Mapa final'!$H$49="Muy Alta",'Mapa final'!$L$49="Mayor"),CONCATENATE("R",'Mapa final'!$A$49),"")</f>
        <v/>
      </c>
      <c r="AG12" s="343"/>
      <c r="AH12" s="355" t="str">
        <f>IF(AND('Mapa final'!$H$37="Muy Alta",'Mapa final'!$L$37="Catastrófico"),CONCATENATE("R",'Mapa final'!$A$37),"")</f>
        <v/>
      </c>
      <c r="AI12" s="356"/>
      <c r="AJ12" s="356" t="str">
        <f>IF(AND('Mapa final'!$H$43="Muy Alta",'Mapa final'!$L$43="Catastrófico"),CONCATENATE("R",'Mapa final'!$A$43),"")</f>
        <v/>
      </c>
      <c r="AK12" s="356"/>
      <c r="AL12" s="356" t="str">
        <f>IF(AND('Mapa final'!$H$49="Muy Alta",'Mapa final'!$L$49="Catastrófico"),CONCATENATE("R",'Mapa final'!$A$49),"")</f>
        <v/>
      </c>
      <c r="AM12" s="357"/>
      <c r="AN12" s="84"/>
      <c r="AO12" s="300"/>
      <c r="AP12" s="301"/>
      <c r="AQ12" s="301"/>
      <c r="AR12" s="301"/>
      <c r="AS12" s="301"/>
      <c r="AT12" s="302"/>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x14ac:dyDescent="0.3">
      <c r="A13" s="84"/>
      <c r="B13" s="295"/>
      <c r="C13" s="295"/>
      <c r="D13" s="296"/>
      <c r="E13" s="339"/>
      <c r="F13" s="340"/>
      <c r="G13" s="340"/>
      <c r="H13" s="340"/>
      <c r="I13" s="341"/>
      <c r="J13" s="347"/>
      <c r="K13" s="344"/>
      <c r="L13" s="344"/>
      <c r="M13" s="344"/>
      <c r="N13" s="344"/>
      <c r="O13" s="343"/>
      <c r="P13" s="347"/>
      <c r="Q13" s="344"/>
      <c r="R13" s="344"/>
      <c r="S13" s="344"/>
      <c r="T13" s="344"/>
      <c r="U13" s="343"/>
      <c r="V13" s="347"/>
      <c r="W13" s="344"/>
      <c r="X13" s="344"/>
      <c r="Y13" s="344"/>
      <c r="Z13" s="344"/>
      <c r="AA13" s="343"/>
      <c r="AB13" s="347"/>
      <c r="AC13" s="344"/>
      <c r="AD13" s="344"/>
      <c r="AE13" s="344"/>
      <c r="AF13" s="344"/>
      <c r="AG13" s="343"/>
      <c r="AH13" s="358"/>
      <c r="AI13" s="359"/>
      <c r="AJ13" s="359"/>
      <c r="AK13" s="359"/>
      <c r="AL13" s="359"/>
      <c r="AM13" s="360"/>
      <c r="AN13" s="84"/>
      <c r="AO13" s="303"/>
      <c r="AP13" s="304"/>
      <c r="AQ13" s="304"/>
      <c r="AR13" s="304"/>
      <c r="AS13" s="304"/>
      <c r="AT13" s="305"/>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x14ac:dyDescent="0.25">
      <c r="A14" s="84"/>
      <c r="B14" s="295"/>
      <c r="C14" s="295"/>
      <c r="D14" s="296"/>
      <c r="E14" s="333" t="s">
        <v>115</v>
      </c>
      <c r="F14" s="334"/>
      <c r="G14" s="334"/>
      <c r="H14" s="334"/>
      <c r="I14" s="334"/>
      <c r="J14" s="370" t="str">
        <f>IF(AND('Mapa final'!$H$10="Alta",'Mapa final'!$L$10="Leve"),CONCATENATE("R",'Mapa final'!$A$10),"")</f>
        <v/>
      </c>
      <c r="K14" s="371"/>
      <c r="L14" s="371" t="e">
        <f>IF(AND('Mapa final'!#REF!="Alta",'Mapa final'!#REF!="Leve"),CONCATENATE("R",'Mapa final'!#REF!),"")</f>
        <v>#REF!</v>
      </c>
      <c r="M14" s="371"/>
      <c r="N14" s="371" t="e">
        <f>IF(AND('Mapa final'!#REF!="Alta",'Mapa final'!#REF!="Leve"),CONCATENATE("R",'Mapa final'!#REF!),"")</f>
        <v>#REF!</v>
      </c>
      <c r="O14" s="372"/>
      <c r="P14" s="370" t="str">
        <f>IF(AND('Mapa final'!$H$10="Alta",'Mapa final'!$L$10="Menor"),CONCATENATE("R",'Mapa final'!$A$10),"")</f>
        <v/>
      </c>
      <c r="Q14" s="371"/>
      <c r="R14" s="371" t="e">
        <f>IF(AND('Mapa final'!#REF!="Alta",'Mapa final'!#REF!="Menor"),CONCATENATE("R",'Mapa final'!#REF!),"")</f>
        <v>#REF!</v>
      </c>
      <c r="S14" s="371"/>
      <c r="T14" s="371" t="e">
        <f>IF(AND('Mapa final'!#REF!="Alta",'Mapa final'!#REF!="Menor"),CONCATENATE("R",'Mapa final'!#REF!),"")</f>
        <v>#REF!</v>
      </c>
      <c r="U14" s="372"/>
      <c r="V14" s="345" t="str">
        <f>IF(AND('Mapa final'!$H$10="Alta",'Mapa final'!$L$10="Moderado"),CONCATENATE("R",'Mapa final'!$A$10),"")</f>
        <v/>
      </c>
      <c r="W14" s="346"/>
      <c r="X14" s="346" t="e">
        <f>IF(AND('Mapa final'!#REF!="Alta",'Mapa final'!#REF!="Moderado"),CONCATENATE("R",'Mapa final'!#REF!),"")</f>
        <v>#REF!</v>
      </c>
      <c r="Y14" s="346"/>
      <c r="Z14" s="346" t="e">
        <f>IF(AND('Mapa final'!#REF!="Alta",'Mapa final'!#REF!="Moderado"),CONCATENATE("R",'Mapa final'!#REF!),"")</f>
        <v>#REF!</v>
      </c>
      <c r="AA14" s="348"/>
      <c r="AB14" s="345" t="str">
        <f>IF(AND('Mapa final'!$H$10="Alta",'Mapa final'!$L$10="Mayor"),CONCATENATE("R",'Mapa final'!$A$10),"")</f>
        <v/>
      </c>
      <c r="AC14" s="346"/>
      <c r="AD14" s="346" t="e">
        <f>IF(AND('Mapa final'!#REF!="Alta",'Mapa final'!#REF!="Mayor"),CONCATENATE("R",'Mapa final'!#REF!),"")</f>
        <v>#REF!</v>
      </c>
      <c r="AE14" s="346"/>
      <c r="AF14" s="346" t="e">
        <f>IF(AND('Mapa final'!#REF!="Alta",'Mapa final'!#REF!="Mayor"),CONCATENATE("R",'Mapa final'!#REF!),"")</f>
        <v>#REF!</v>
      </c>
      <c r="AG14" s="348"/>
      <c r="AH14" s="361" t="str">
        <f>IF(AND('Mapa final'!$H$10="Alta",'Mapa final'!$L$10="Catastrófico"),CONCATENATE("R",'Mapa final'!$A$10),"")</f>
        <v/>
      </c>
      <c r="AI14" s="362"/>
      <c r="AJ14" s="362" t="e">
        <f>IF(AND('Mapa final'!#REF!="Alta",'Mapa final'!#REF!="Catastrófico"),CONCATENATE("R",'Mapa final'!#REF!),"")</f>
        <v>#REF!</v>
      </c>
      <c r="AK14" s="362"/>
      <c r="AL14" s="362" t="e">
        <f>IF(AND('Mapa final'!#REF!="Alta",'Mapa final'!#REF!="Catastrófico"),CONCATENATE("R",'Mapa final'!#REF!),"")</f>
        <v>#REF!</v>
      </c>
      <c r="AM14" s="363"/>
      <c r="AN14" s="84"/>
      <c r="AO14" s="306" t="s">
        <v>80</v>
      </c>
      <c r="AP14" s="307"/>
      <c r="AQ14" s="307"/>
      <c r="AR14" s="307"/>
      <c r="AS14" s="307"/>
      <c r="AT14" s="308"/>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x14ac:dyDescent="0.25">
      <c r="A15" s="84"/>
      <c r="B15" s="295"/>
      <c r="C15" s="295"/>
      <c r="D15" s="296"/>
      <c r="E15" s="336"/>
      <c r="F15" s="337"/>
      <c r="G15" s="337"/>
      <c r="H15" s="337"/>
      <c r="I15" s="350"/>
      <c r="J15" s="364"/>
      <c r="K15" s="365"/>
      <c r="L15" s="365"/>
      <c r="M15" s="365"/>
      <c r="N15" s="365"/>
      <c r="O15" s="366"/>
      <c r="P15" s="364"/>
      <c r="Q15" s="365"/>
      <c r="R15" s="365"/>
      <c r="S15" s="365"/>
      <c r="T15" s="365"/>
      <c r="U15" s="366"/>
      <c r="V15" s="347"/>
      <c r="W15" s="344"/>
      <c r="X15" s="344"/>
      <c r="Y15" s="344"/>
      <c r="Z15" s="344"/>
      <c r="AA15" s="343"/>
      <c r="AB15" s="347"/>
      <c r="AC15" s="344"/>
      <c r="AD15" s="344"/>
      <c r="AE15" s="344"/>
      <c r="AF15" s="344"/>
      <c r="AG15" s="343"/>
      <c r="AH15" s="355"/>
      <c r="AI15" s="356"/>
      <c r="AJ15" s="356"/>
      <c r="AK15" s="356"/>
      <c r="AL15" s="356"/>
      <c r="AM15" s="357"/>
      <c r="AN15" s="84"/>
      <c r="AO15" s="309"/>
      <c r="AP15" s="310"/>
      <c r="AQ15" s="310"/>
      <c r="AR15" s="310"/>
      <c r="AS15" s="310"/>
      <c r="AT15" s="311"/>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x14ac:dyDescent="0.25">
      <c r="A16" s="84"/>
      <c r="B16" s="295"/>
      <c r="C16" s="295"/>
      <c r="D16" s="296"/>
      <c r="E16" s="336"/>
      <c r="F16" s="337"/>
      <c r="G16" s="337"/>
      <c r="H16" s="337"/>
      <c r="I16" s="350"/>
      <c r="J16" s="364" t="str">
        <f>IF(AND('Mapa final'!$H$12="Alta",'Mapa final'!$L$12="Leve"),CONCATENATE("R",'Mapa final'!$A$12),"")</f>
        <v/>
      </c>
      <c r="K16" s="365"/>
      <c r="L16" s="365" t="e">
        <f>IF(AND('Mapa final'!#REF!="Alta",'Mapa final'!#REF!="Leve"),CONCATENATE("R",'Mapa final'!#REF!),"")</f>
        <v>#REF!</v>
      </c>
      <c r="M16" s="365"/>
      <c r="N16" s="365" t="str">
        <f>IF(AND('Mapa final'!$H$13="Alta",'Mapa final'!$L$13="Leve"),CONCATENATE("R",'Mapa final'!$A$13),"")</f>
        <v/>
      </c>
      <c r="O16" s="366"/>
      <c r="P16" s="364" t="str">
        <f>IF(AND('Mapa final'!$H$12="Alta",'Mapa final'!$L$12="Menor"),CONCATENATE("R",'Mapa final'!$A$12),"")</f>
        <v/>
      </c>
      <c r="Q16" s="365"/>
      <c r="R16" s="365" t="e">
        <f>IF(AND('Mapa final'!#REF!="Alta",'Mapa final'!#REF!="Menor"),CONCATENATE("R",'Mapa final'!#REF!),"")</f>
        <v>#REF!</v>
      </c>
      <c r="S16" s="365"/>
      <c r="T16" s="365" t="str">
        <f>IF(AND('Mapa final'!$H$13="Alta",'Mapa final'!$L$13="Menor"),CONCATENATE("R",'Mapa final'!$A$13),"")</f>
        <v/>
      </c>
      <c r="U16" s="366"/>
      <c r="V16" s="347" t="str">
        <f>IF(AND('Mapa final'!$H$12="Alta",'Mapa final'!$L$12="Moderado"),CONCATENATE("R",'Mapa final'!$A$12),"")</f>
        <v/>
      </c>
      <c r="W16" s="344"/>
      <c r="X16" s="342" t="e">
        <f>IF(AND('Mapa final'!#REF!="Alta",'Mapa final'!#REF!="Moderado"),CONCATENATE("R",'Mapa final'!#REF!),"")</f>
        <v>#REF!</v>
      </c>
      <c r="Y16" s="342"/>
      <c r="Z16" s="342" t="str">
        <f>IF(AND('Mapa final'!$H$13="Alta",'Mapa final'!$L$13="Moderado"),CONCATENATE("R",'Mapa final'!$A$13),"")</f>
        <v/>
      </c>
      <c r="AA16" s="343"/>
      <c r="AB16" s="347" t="str">
        <f>IF(AND('Mapa final'!$H$12="Alta",'Mapa final'!$L$12="Mayor"),CONCATENATE("R",'Mapa final'!$A$12),"")</f>
        <v>R3</v>
      </c>
      <c r="AC16" s="344"/>
      <c r="AD16" s="342" t="e">
        <f>IF(AND('Mapa final'!#REF!="Alta",'Mapa final'!#REF!="Mayor"),CONCATENATE("R",'Mapa final'!#REF!),"")</f>
        <v>#REF!</v>
      </c>
      <c r="AE16" s="342"/>
      <c r="AF16" s="342" t="str">
        <f>IF(AND('Mapa final'!$H$13="Alta",'Mapa final'!$L$13="Mayor"),CONCATENATE("R",'Mapa final'!$A$13),"")</f>
        <v/>
      </c>
      <c r="AG16" s="343"/>
      <c r="AH16" s="355" t="str">
        <f>IF(AND('Mapa final'!$H$12="Alta",'Mapa final'!$L$12="Catastrófico"),CONCATENATE("R",'Mapa final'!$A$12),"")</f>
        <v/>
      </c>
      <c r="AI16" s="356"/>
      <c r="AJ16" s="356" t="e">
        <f>IF(AND('Mapa final'!#REF!="Alta",'Mapa final'!#REF!="Catastrófico"),CONCATENATE("R",'Mapa final'!#REF!),"")</f>
        <v>#REF!</v>
      </c>
      <c r="AK16" s="356"/>
      <c r="AL16" s="356" t="str">
        <f>IF(AND('Mapa final'!$H$13="Alta",'Mapa final'!$L$13="Catastrófico"),CONCATENATE("R",'Mapa final'!$A$13),"")</f>
        <v/>
      </c>
      <c r="AM16" s="357"/>
      <c r="AN16" s="84"/>
      <c r="AO16" s="309"/>
      <c r="AP16" s="310"/>
      <c r="AQ16" s="310"/>
      <c r="AR16" s="310"/>
      <c r="AS16" s="310"/>
      <c r="AT16" s="311"/>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x14ac:dyDescent="0.25">
      <c r="A17" s="84"/>
      <c r="B17" s="295"/>
      <c r="C17" s="295"/>
      <c r="D17" s="296"/>
      <c r="E17" s="336"/>
      <c r="F17" s="337"/>
      <c r="G17" s="337"/>
      <c r="H17" s="337"/>
      <c r="I17" s="350"/>
      <c r="J17" s="364"/>
      <c r="K17" s="365"/>
      <c r="L17" s="365"/>
      <c r="M17" s="365"/>
      <c r="N17" s="365"/>
      <c r="O17" s="366"/>
      <c r="P17" s="364"/>
      <c r="Q17" s="365"/>
      <c r="R17" s="365"/>
      <c r="S17" s="365"/>
      <c r="T17" s="365"/>
      <c r="U17" s="366"/>
      <c r="V17" s="347"/>
      <c r="W17" s="344"/>
      <c r="X17" s="342"/>
      <c r="Y17" s="342"/>
      <c r="Z17" s="342"/>
      <c r="AA17" s="343"/>
      <c r="AB17" s="347"/>
      <c r="AC17" s="344"/>
      <c r="AD17" s="342"/>
      <c r="AE17" s="342"/>
      <c r="AF17" s="342"/>
      <c r="AG17" s="343"/>
      <c r="AH17" s="355"/>
      <c r="AI17" s="356"/>
      <c r="AJ17" s="356"/>
      <c r="AK17" s="356"/>
      <c r="AL17" s="356"/>
      <c r="AM17" s="357"/>
      <c r="AN17" s="84"/>
      <c r="AO17" s="309"/>
      <c r="AP17" s="310"/>
      <c r="AQ17" s="310"/>
      <c r="AR17" s="310"/>
      <c r="AS17" s="310"/>
      <c r="AT17" s="311"/>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x14ac:dyDescent="0.25">
      <c r="A18" s="84"/>
      <c r="B18" s="295"/>
      <c r="C18" s="295"/>
      <c r="D18" s="296"/>
      <c r="E18" s="336"/>
      <c r="F18" s="337"/>
      <c r="G18" s="337"/>
      <c r="H18" s="337"/>
      <c r="I18" s="350"/>
      <c r="J18" s="364" t="str">
        <f>IF(AND('Mapa final'!$H$19="Alta",'Mapa final'!$L$19="Leve"),CONCATENATE("R",'Mapa final'!$A$19),"")</f>
        <v/>
      </c>
      <c r="K18" s="365"/>
      <c r="L18" s="365" t="str">
        <f>IF(AND('Mapa final'!$H$25="Alta",'Mapa final'!$L$25="Leve"),CONCATENATE("R",'Mapa final'!$A$25),"")</f>
        <v/>
      </c>
      <c r="M18" s="365"/>
      <c r="N18" s="365" t="str">
        <f>IF(AND('Mapa final'!$H$31="Alta",'Mapa final'!$L$31="Leve"),CONCATENATE("R",'Mapa final'!$A$31),"")</f>
        <v/>
      </c>
      <c r="O18" s="366"/>
      <c r="P18" s="364" t="str">
        <f>IF(AND('Mapa final'!$H$19="Alta",'Mapa final'!$L$19="Menor"),CONCATENATE("R",'Mapa final'!$A$19),"")</f>
        <v/>
      </c>
      <c r="Q18" s="365"/>
      <c r="R18" s="365" t="str">
        <f>IF(AND('Mapa final'!$H$25="Alta",'Mapa final'!$L$25="Menor"),CONCATENATE("R",'Mapa final'!$A$25),"")</f>
        <v/>
      </c>
      <c r="S18" s="365"/>
      <c r="T18" s="365" t="str">
        <f>IF(AND('Mapa final'!$H$31="Alta",'Mapa final'!$L$31="Menor"),CONCATENATE("R",'Mapa final'!$A$31),"")</f>
        <v/>
      </c>
      <c r="U18" s="366"/>
      <c r="V18" s="347" t="str">
        <f>IF(AND('Mapa final'!$H$19="Alta",'Mapa final'!$L$19="Moderado"),CONCATENATE("R",'Mapa final'!$A$19),"")</f>
        <v/>
      </c>
      <c r="W18" s="344"/>
      <c r="X18" s="342" t="str">
        <f>IF(AND('Mapa final'!$H$25="Alta",'Mapa final'!$L$25="Moderado"),CONCATENATE("R",'Mapa final'!$A$25),"")</f>
        <v/>
      </c>
      <c r="Y18" s="342"/>
      <c r="Z18" s="342" t="str">
        <f>IF(AND('Mapa final'!$H$31="Alta",'Mapa final'!$L$31="Moderado"),CONCATENATE("R",'Mapa final'!$A$31),"")</f>
        <v/>
      </c>
      <c r="AA18" s="343"/>
      <c r="AB18" s="347" t="str">
        <f>IF(AND('Mapa final'!$H$19="Alta",'Mapa final'!$L$19="Mayor"),CONCATENATE("R",'Mapa final'!$A$19),"")</f>
        <v/>
      </c>
      <c r="AC18" s="344"/>
      <c r="AD18" s="342" t="str">
        <f>IF(AND('Mapa final'!$H$25="Alta",'Mapa final'!$L$25="Mayor"),CONCATENATE("R",'Mapa final'!$A$25),"")</f>
        <v/>
      </c>
      <c r="AE18" s="342"/>
      <c r="AF18" s="342" t="str">
        <f>IF(AND('Mapa final'!$H$31="Alta",'Mapa final'!$L$31="Mayor"),CONCATENATE("R",'Mapa final'!$A$31),"")</f>
        <v/>
      </c>
      <c r="AG18" s="343"/>
      <c r="AH18" s="355" t="str">
        <f>IF(AND('Mapa final'!$H$19="Alta",'Mapa final'!$L$19="Catastrófico"),CONCATENATE("R",'Mapa final'!$A$19),"")</f>
        <v/>
      </c>
      <c r="AI18" s="356"/>
      <c r="AJ18" s="356" t="str">
        <f>IF(AND('Mapa final'!$H$25="Alta",'Mapa final'!$L$25="Catastrófico"),CONCATENATE("R",'Mapa final'!$A$25),"")</f>
        <v/>
      </c>
      <c r="AK18" s="356"/>
      <c r="AL18" s="356" t="str">
        <f>IF(AND('Mapa final'!$H$31="Alta",'Mapa final'!$L$31="Catastrófico"),CONCATENATE("R",'Mapa final'!$A$31),"")</f>
        <v/>
      </c>
      <c r="AM18" s="357"/>
      <c r="AN18" s="84"/>
      <c r="AO18" s="309"/>
      <c r="AP18" s="310"/>
      <c r="AQ18" s="310"/>
      <c r="AR18" s="310"/>
      <c r="AS18" s="310"/>
      <c r="AT18" s="311"/>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x14ac:dyDescent="0.25">
      <c r="A19" s="84"/>
      <c r="B19" s="295"/>
      <c r="C19" s="295"/>
      <c r="D19" s="296"/>
      <c r="E19" s="336"/>
      <c r="F19" s="337"/>
      <c r="G19" s="337"/>
      <c r="H19" s="337"/>
      <c r="I19" s="350"/>
      <c r="J19" s="364"/>
      <c r="K19" s="365"/>
      <c r="L19" s="365"/>
      <c r="M19" s="365"/>
      <c r="N19" s="365"/>
      <c r="O19" s="366"/>
      <c r="P19" s="364"/>
      <c r="Q19" s="365"/>
      <c r="R19" s="365"/>
      <c r="S19" s="365"/>
      <c r="T19" s="365"/>
      <c r="U19" s="366"/>
      <c r="V19" s="347"/>
      <c r="W19" s="344"/>
      <c r="X19" s="342"/>
      <c r="Y19" s="342"/>
      <c r="Z19" s="342"/>
      <c r="AA19" s="343"/>
      <c r="AB19" s="347"/>
      <c r="AC19" s="344"/>
      <c r="AD19" s="342"/>
      <c r="AE19" s="342"/>
      <c r="AF19" s="342"/>
      <c r="AG19" s="343"/>
      <c r="AH19" s="355"/>
      <c r="AI19" s="356"/>
      <c r="AJ19" s="356"/>
      <c r="AK19" s="356"/>
      <c r="AL19" s="356"/>
      <c r="AM19" s="357"/>
      <c r="AN19" s="84"/>
      <c r="AO19" s="309"/>
      <c r="AP19" s="310"/>
      <c r="AQ19" s="310"/>
      <c r="AR19" s="310"/>
      <c r="AS19" s="310"/>
      <c r="AT19" s="311"/>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x14ac:dyDescent="0.25">
      <c r="A20" s="84"/>
      <c r="B20" s="295"/>
      <c r="C20" s="295"/>
      <c r="D20" s="296"/>
      <c r="E20" s="336"/>
      <c r="F20" s="337"/>
      <c r="G20" s="337"/>
      <c r="H20" s="337"/>
      <c r="I20" s="350"/>
      <c r="J20" s="364" t="str">
        <f>IF(AND('Mapa final'!$H$37="Alta",'Mapa final'!$L$37="Leve"),CONCATENATE("R",'Mapa final'!$A$37),"")</f>
        <v/>
      </c>
      <c r="K20" s="365"/>
      <c r="L20" s="365" t="str">
        <f>IF(AND('Mapa final'!$H$43="Alta",'Mapa final'!$L$43="Leve"),CONCATENATE("R",'Mapa final'!$A$43),"")</f>
        <v/>
      </c>
      <c r="M20" s="365"/>
      <c r="N20" s="365" t="str">
        <f>IF(AND('Mapa final'!$H$49="Alta",'Mapa final'!$L$49="Leve"),CONCATENATE("R",'Mapa final'!$A$49),"")</f>
        <v/>
      </c>
      <c r="O20" s="366"/>
      <c r="P20" s="364" t="str">
        <f>IF(AND('Mapa final'!$H$37="Alta",'Mapa final'!$L$37="Menor"),CONCATENATE("R",'Mapa final'!$A$37),"")</f>
        <v/>
      </c>
      <c r="Q20" s="365"/>
      <c r="R20" s="365" t="str">
        <f>IF(AND('Mapa final'!$H$43="Alta",'Mapa final'!$L$43="Menor"),CONCATENATE("R",'Mapa final'!$A$43),"")</f>
        <v/>
      </c>
      <c r="S20" s="365"/>
      <c r="T20" s="365" t="str">
        <f>IF(AND('Mapa final'!$H$49="Alta",'Mapa final'!$L$49="Menor"),CONCATENATE("R",'Mapa final'!$A$49),"")</f>
        <v/>
      </c>
      <c r="U20" s="366"/>
      <c r="V20" s="347" t="str">
        <f>IF(AND('Mapa final'!$H$37="Alta",'Mapa final'!$L$37="Moderado"),CONCATENATE("R",'Mapa final'!$A$37),"")</f>
        <v/>
      </c>
      <c r="W20" s="344"/>
      <c r="X20" s="342" t="str">
        <f>IF(AND('Mapa final'!$H$43="Alta",'Mapa final'!$L$43="Moderado"),CONCATENATE("R",'Mapa final'!$A$43),"")</f>
        <v/>
      </c>
      <c r="Y20" s="342"/>
      <c r="Z20" s="342" t="str">
        <f>IF(AND('Mapa final'!$H$49="Alta",'Mapa final'!$L$49="Moderado"),CONCATENATE("R",'Mapa final'!$A$49),"")</f>
        <v/>
      </c>
      <c r="AA20" s="343"/>
      <c r="AB20" s="347" t="str">
        <f>IF(AND('Mapa final'!$H$37="Alta",'Mapa final'!$L$37="Mayor"),CONCATENATE("R",'Mapa final'!$A$37),"")</f>
        <v/>
      </c>
      <c r="AC20" s="344"/>
      <c r="AD20" s="342" t="str">
        <f>IF(AND('Mapa final'!$H$43="Alta",'Mapa final'!$L$43="Mayor"),CONCATENATE("R",'Mapa final'!$A$43),"")</f>
        <v/>
      </c>
      <c r="AE20" s="342"/>
      <c r="AF20" s="342" t="str">
        <f>IF(AND('Mapa final'!$H$49="Alta",'Mapa final'!$L$49="Mayor"),CONCATENATE("R",'Mapa final'!$A$49),"")</f>
        <v/>
      </c>
      <c r="AG20" s="343"/>
      <c r="AH20" s="355" t="str">
        <f>IF(AND('Mapa final'!$H$37="Alta",'Mapa final'!$L$37="Catastrófico"),CONCATENATE("R",'Mapa final'!$A$37),"")</f>
        <v/>
      </c>
      <c r="AI20" s="356"/>
      <c r="AJ20" s="356" t="str">
        <f>IF(AND('Mapa final'!$H$43="Alta",'Mapa final'!$L$43="Catastrófico"),CONCATENATE("R",'Mapa final'!$A$43),"")</f>
        <v/>
      </c>
      <c r="AK20" s="356"/>
      <c r="AL20" s="356" t="str">
        <f>IF(AND('Mapa final'!$H$49="Alta",'Mapa final'!$L$49="Catastrófico"),CONCATENATE("R",'Mapa final'!$A$49),"")</f>
        <v/>
      </c>
      <c r="AM20" s="357"/>
      <c r="AN20" s="84"/>
      <c r="AO20" s="309"/>
      <c r="AP20" s="310"/>
      <c r="AQ20" s="310"/>
      <c r="AR20" s="310"/>
      <c r="AS20" s="310"/>
      <c r="AT20" s="311"/>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x14ac:dyDescent="0.3">
      <c r="A21" s="84"/>
      <c r="B21" s="295"/>
      <c r="C21" s="295"/>
      <c r="D21" s="296"/>
      <c r="E21" s="339"/>
      <c r="F21" s="340"/>
      <c r="G21" s="340"/>
      <c r="H21" s="340"/>
      <c r="I21" s="340"/>
      <c r="J21" s="367"/>
      <c r="K21" s="368"/>
      <c r="L21" s="368"/>
      <c r="M21" s="368"/>
      <c r="N21" s="368"/>
      <c r="O21" s="369"/>
      <c r="P21" s="367"/>
      <c r="Q21" s="368"/>
      <c r="R21" s="368"/>
      <c r="S21" s="368"/>
      <c r="T21" s="368"/>
      <c r="U21" s="369"/>
      <c r="V21" s="352"/>
      <c r="W21" s="353"/>
      <c r="X21" s="353"/>
      <c r="Y21" s="353"/>
      <c r="Z21" s="353"/>
      <c r="AA21" s="354"/>
      <c r="AB21" s="352"/>
      <c r="AC21" s="353"/>
      <c r="AD21" s="353"/>
      <c r="AE21" s="353"/>
      <c r="AF21" s="353"/>
      <c r="AG21" s="354"/>
      <c r="AH21" s="358"/>
      <c r="AI21" s="359"/>
      <c r="AJ21" s="359"/>
      <c r="AK21" s="359"/>
      <c r="AL21" s="359"/>
      <c r="AM21" s="360"/>
      <c r="AN21" s="84"/>
      <c r="AO21" s="312"/>
      <c r="AP21" s="313"/>
      <c r="AQ21" s="313"/>
      <c r="AR21" s="313"/>
      <c r="AS21" s="313"/>
      <c r="AT21" s="31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x14ac:dyDescent="0.25">
      <c r="A22" s="84"/>
      <c r="B22" s="295"/>
      <c r="C22" s="295"/>
      <c r="D22" s="296"/>
      <c r="E22" s="333" t="s">
        <v>117</v>
      </c>
      <c r="F22" s="334"/>
      <c r="G22" s="334"/>
      <c r="H22" s="334"/>
      <c r="I22" s="335"/>
      <c r="J22" s="370" t="str">
        <f>IF(AND('Mapa final'!$H$10="Media",'Mapa final'!$L$10="Leve"),CONCATENATE("R",'Mapa final'!$A$10),"")</f>
        <v/>
      </c>
      <c r="K22" s="371"/>
      <c r="L22" s="371" t="e">
        <f>IF(AND('Mapa final'!#REF!="Media",'Mapa final'!#REF!="Leve"),CONCATENATE("R",'Mapa final'!#REF!),"")</f>
        <v>#REF!</v>
      </c>
      <c r="M22" s="371"/>
      <c r="N22" s="371" t="e">
        <f>IF(AND('Mapa final'!#REF!="Media",'Mapa final'!#REF!="Leve"),CONCATENATE("R",'Mapa final'!#REF!),"")</f>
        <v>#REF!</v>
      </c>
      <c r="O22" s="372"/>
      <c r="P22" s="370" t="str">
        <f>IF(AND('Mapa final'!$H$10="Media",'Mapa final'!$L$10="Menor"),CONCATENATE("R",'Mapa final'!$A$10),"")</f>
        <v/>
      </c>
      <c r="Q22" s="371"/>
      <c r="R22" s="371" t="e">
        <f>IF(AND('Mapa final'!#REF!="Media",'Mapa final'!#REF!="Menor"),CONCATENATE("R",'Mapa final'!#REF!),"")</f>
        <v>#REF!</v>
      </c>
      <c r="S22" s="371"/>
      <c r="T22" s="371" t="e">
        <f>IF(AND('Mapa final'!#REF!="Media",'Mapa final'!#REF!="Menor"),CONCATENATE("R",'Mapa final'!#REF!),"")</f>
        <v>#REF!</v>
      </c>
      <c r="U22" s="372"/>
      <c r="V22" s="370" t="str">
        <f>IF(AND('Mapa final'!$H$10="Media",'Mapa final'!$L$10="Moderado"),CONCATENATE("R",'Mapa final'!$A$10),"")</f>
        <v>R1</v>
      </c>
      <c r="W22" s="371"/>
      <c r="X22" s="371" t="e">
        <f>IF(AND('Mapa final'!#REF!="Media",'Mapa final'!#REF!="Moderado"),CONCATENATE("R",'Mapa final'!#REF!),"")</f>
        <v>#REF!</v>
      </c>
      <c r="Y22" s="371"/>
      <c r="Z22" s="371" t="e">
        <f>IF(AND('Mapa final'!#REF!="Media",'Mapa final'!#REF!="Moderado"),CONCATENATE("R",'Mapa final'!#REF!),"")</f>
        <v>#REF!</v>
      </c>
      <c r="AA22" s="372"/>
      <c r="AB22" s="345" t="str">
        <f>IF(AND('Mapa final'!$H$10="Media",'Mapa final'!$L$10="Mayor"),CONCATENATE("R",'Mapa final'!$A$10),"")</f>
        <v/>
      </c>
      <c r="AC22" s="346"/>
      <c r="AD22" s="346" t="e">
        <f>IF(AND('Mapa final'!#REF!="Media",'Mapa final'!#REF!="Mayor"),CONCATENATE("R",'Mapa final'!#REF!),"")</f>
        <v>#REF!</v>
      </c>
      <c r="AE22" s="346"/>
      <c r="AF22" s="346" t="e">
        <f>IF(AND('Mapa final'!#REF!="Media",'Mapa final'!#REF!="Mayor"),CONCATENATE("R",'Mapa final'!#REF!),"")</f>
        <v>#REF!</v>
      </c>
      <c r="AG22" s="348"/>
      <c r="AH22" s="361" t="str">
        <f>IF(AND('Mapa final'!$H$10="Media",'Mapa final'!$L$10="Catastrófico"),CONCATENATE("R",'Mapa final'!$A$10),"")</f>
        <v/>
      </c>
      <c r="AI22" s="362"/>
      <c r="AJ22" s="362" t="e">
        <f>IF(AND('Mapa final'!#REF!="Media",'Mapa final'!#REF!="Catastrófico"),CONCATENATE("R",'Mapa final'!#REF!),"")</f>
        <v>#REF!</v>
      </c>
      <c r="AK22" s="362"/>
      <c r="AL22" s="362" t="e">
        <f>IF(AND('Mapa final'!#REF!="Media",'Mapa final'!#REF!="Catastrófico"),CONCATENATE("R",'Mapa final'!#REF!),"")</f>
        <v>#REF!</v>
      </c>
      <c r="AM22" s="363"/>
      <c r="AN22" s="84"/>
      <c r="AO22" s="315" t="s">
        <v>81</v>
      </c>
      <c r="AP22" s="316"/>
      <c r="AQ22" s="316"/>
      <c r="AR22" s="316"/>
      <c r="AS22" s="316"/>
      <c r="AT22" s="317"/>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x14ac:dyDescent="0.25">
      <c r="A23" s="84"/>
      <c r="B23" s="295"/>
      <c r="C23" s="295"/>
      <c r="D23" s="296"/>
      <c r="E23" s="336"/>
      <c r="F23" s="337"/>
      <c r="G23" s="337"/>
      <c r="H23" s="337"/>
      <c r="I23" s="338"/>
      <c r="J23" s="364"/>
      <c r="K23" s="365"/>
      <c r="L23" s="365"/>
      <c r="M23" s="365"/>
      <c r="N23" s="365"/>
      <c r="O23" s="366"/>
      <c r="P23" s="364"/>
      <c r="Q23" s="365"/>
      <c r="R23" s="365"/>
      <c r="S23" s="365"/>
      <c r="T23" s="365"/>
      <c r="U23" s="366"/>
      <c r="V23" s="364"/>
      <c r="W23" s="365"/>
      <c r="X23" s="365"/>
      <c r="Y23" s="365"/>
      <c r="Z23" s="365"/>
      <c r="AA23" s="366"/>
      <c r="AB23" s="347"/>
      <c r="AC23" s="344"/>
      <c r="AD23" s="344"/>
      <c r="AE23" s="344"/>
      <c r="AF23" s="344"/>
      <c r="AG23" s="343"/>
      <c r="AH23" s="355"/>
      <c r="AI23" s="356"/>
      <c r="AJ23" s="356"/>
      <c r="AK23" s="356"/>
      <c r="AL23" s="356"/>
      <c r="AM23" s="357"/>
      <c r="AN23" s="84"/>
      <c r="AO23" s="318"/>
      <c r="AP23" s="319"/>
      <c r="AQ23" s="319"/>
      <c r="AR23" s="319"/>
      <c r="AS23" s="319"/>
      <c r="AT23" s="320"/>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x14ac:dyDescent="0.25">
      <c r="A24" s="84"/>
      <c r="B24" s="295"/>
      <c r="C24" s="295"/>
      <c r="D24" s="296"/>
      <c r="E24" s="336"/>
      <c r="F24" s="337"/>
      <c r="G24" s="337"/>
      <c r="H24" s="337"/>
      <c r="I24" s="338"/>
      <c r="J24" s="364" t="str">
        <f>IF(AND('Mapa final'!$H$12="Media",'Mapa final'!$L$12="Leve"),CONCATENATE("R",'Mapa final'!$A$12),"")</f>
        <v/>
      </c>
      <c r="K24" s="365"/>
      <c r="L24" s="365" t="e">
        <f>IF(AND('Mapa final'!#REF!="Media",'Mapa final'!#REF!="Leve"),CONCATENATE("R",'Mapa final'!#REF!),"")</f>
        <v>#REF!</v>
      </c>
      <c r="M24" s="365"/>
      <c r="N24" s="365" t="str">
        <f>IF(AND('Mapa final'!$H$13="Media",'Mapa final'!$L$13="Leve"),CONCATENATE("R",'Mapa final'!$A$13),"")</f>
        <v/>
      </c>
      <c r="O24" s="366"/>
      <c r="P24" s="364" t="str">
        <f>IF(AND('Mapa final'!$H$12="Media",'Mapa final'!$L$12="Menor"),CONCATENATE("R",'Mapa final'!$A$12),"")</f>
        <v/>
      </c>
      <c r="Q24" s="365"/>
      <c r="R24" s="365" t="e">
        <f>IF(AND('Mapa final'!#REF!="Media",'Mapa final'!#REF!="Menor"),CONCATENATE("R",'Mapa final'!#REF!),"")</f>
        <v>#REF!</v>
      </c>
      <c r="S24" s="365"/>
      <c r="T24" s="365" t="str">
        <f>IF(AND('Mapa final'!$H$13="Media",'Mapa final'!$L$13="Menor"),CONCATENATE("R",'Mapa final'!$A$13),"")</f>
        <v/>
      </c>
      <c r="U24" s="366"/>
      <c r="V24" s="364" t="str">
        <f>IF(AND('Mapa final'!$H$12="Media",'Mapa final'!$L$12="Moderado"),CONCATENATE("R",'Mapa final'!$A$12),"")</f>
        <v/>
      </c>
      <c r="W24" s="365"/>
      <c r="X24" s="365" t="e">
        <f>IF(AND('Mapa final'!#REF!="Media",'Mapa final'!#REF!="Moderado"),CONCATENATE("R",'Mapa final'!#REF!),"")</f>
        <v>#REF!</v>
      </c>
      <c r="Y24" s="365"/>
      <c r="Z24" s="365" t="str">
        <f>IF(AND('Mapa final'!$H$13="Media",'Mapa final'!$L$13="Moderado"),CONCATENATE("R",'Mapa final'!$A$13),"")</f>
        <v>R4</v>
      </c>
      <c r="AA24" s="366"/>
      <c r="AB24" s="347" t="str">
        <f>IF(AND('Mapa final'!$H$12="Media",'Mapa final'!$L$12="Mayor"),CONCATENATE("R",'Mapa final'!$A$12),"")</f>
        <v/>
      </c>
      <c r="AC24" s="344"/>
      <c r="AD24" s="342" t="e">
        <f>IF(AND('Mapa final'!#REF!="Media",'Mapa final'!#REF!="Mayor"),CONCATENATE("R",'Mapa final'!#REF!),"")</f>
        <v>#REF!</v>
      </c>
      <c r="AE24" s="342"/>
      <c r="AF24" s="342" t="str">
        <f>IF(AND('Mapa final'!$H$13="Media",'Mapa final'!$L$13="Mayor"),CONCATENATE("R",'Mapa final'!$A$13),"")</f>
        <v/>
      </c>
      <c r="AG24" s="343"/>
      <c r="AH24" s="355" t="str">
        <f>IF(AND('Mapa final'!$H$12="Media",'Mapa final'!$L$12="Catastrófico"),CONCATENATE("R",'Mapa final'!$A$12),"")</f>
        <v/>
      </c>
      <c r="AI24" s="356"/>
      <c r="AJ24" s="356" t="e">
        <f>IF(AND('Mapa final'!#REF!="Media",'Mapa final'!#REF!="Catastrófico"),CONCATENATE("R",'Mapa final'!#REF!),"")</f>
        <v>#REF!</v>
      </c>
      <c r="AK24" s="356"/>
      <c r="AL24" s="356" t="str">
        <f>IF(AND('Mapa final'!$H$13="Media",'Mapa final'!$L$13="Catastrófico"),CONCATENATE("R",'Mapa final'!$A$13),"")</f>
        <v/>
      </c>
      <c r="AM24" s="357"/>
      <c r="AN24" s="84"/>
      <c r="AO24" s="318"/>
      <c r="AP24" s="319"/>
      <c r="AQ24" s="319"/>
      <c r="AR24" s="319"/>
      <c r="AS24" s="319"/>
      <c r="AT24" s="320"/>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x14ac:dyDescent="0.25">
      <c r="A25" s="84"/>
      <c r="B25" s="295"/>
      <c r="C25" s="295"/>
      <c r="D25" s="296"/>
      <c r="E25" s="336"/>
      <c r="F25" s="337"/>
      <c r="G25" s="337"/>
      <c r="H25" s="337"/>
      <c r="I25" s="338"/>
      <c r="J25" s="364"/>
      <c r="K25" s="365"/>
      <c r="L25" s="365"/>
      <c r="M25" s="365"/>
      <c r="N25" s="365"/>
      <c r="O25" s="366"/>
      <c r="P25" s="364"/>
      <c r="Q25" s="365"/>
      <c r="R25" s="365"/>
      <c r="S25" s="365"/>
      <c r="T25" s="365"/>
      <c r="U25" s="366"/>
      <c r="V25" s="364"/>
      <c r="W25" s="365"/>
      <c r="X25" s="365"/>
      <c r="Y25" s="365"/>
      <c r="Z25" s="365"/>
      <c r="AA25" s="366"/>
      <c r="AB25" s="347"/>
      <c r="AC25" s="344"/>
      <c r="AD25" s="342"/>
      <c r="AE25" s="342"/>
      <c r="AF25" s="342"/>
      <c r="AG25" s="343"/>
      <c r="AH25" s="355"/>
      <c r="AI25" s="356"/>
      <c r="AJ25" s="356"/>
      <c r="AK25" s="356"/>
      <c r="AL25" s="356"/>
      <c r="AM25" s="357"/>
      <c r="AN25" s="84"/>
      <c r="AO25" s="318"/>
      <c r="AP25" s="319"/>
      <c r="AQ25" s="319"/>
      <c r="AR25" s="319"/>
      <c r="AS25" s="319"/>
      <c r="AT25" s="320"/>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x14ac:dyDescent="0.25">
      <c r="A26" s="84"/>
      <c r="B26" s="295"/>
      <c r="C26" s="295"/>
      <c r="D26" s="296"/>
      <c r="E26" s="336"/>
      <c r="F26" s="337"/>
      <c r="G26" s="337"/>
      <c r="H26" s="337"/>
      <c r="I26" s="338"/>
      <c r="J26" s="364" t="str">
        <f>IF(AND('Mapa final'!$H$19="Media",'Mapa final'!$L$19="Leve"),CONCATENATE("R",'Mapa final'!$A$19),"")</f>
        <v/>
      </c>
      <c r="K26" s="365"/>
      <c r="L26" s="365" t="str">
        <f>IF(AND('Mapa final'!$H$25="Media",'Mapa final'!$L$25="Leve"),CONCATENATE("R",'Mapa final'!$A$25),"")</f>
        <v/>
      </c>
      <c r="M26" s="365"/>
      <c r="N26" s="365" t="str">
        <f>IF(AND('Mapa final'!$H$31="Media",'Mapa final'!$L$31="Leve"),CONCATENATE("R",'Mapa final'!$A$31),"")</f>
        <v/>
      </c>
      <c r="O26" s="366"/>
      <c r="P26" s="364" t="str">
        <f>IF(AND('Mapa final'!$H$19="Media",'Mapa final'!$L$19="Menor"),CONCATENATE("R",'Mapa final'!$A$19),"")</f>
        <v/>
      </c>
      <c r="Q26" s="365"/>
      <c r="R26" s="365" t="str">
        <f>IF(AND('Mapa final'!$H$25="Media",'Mapa final'!$L$25="Menor"),CONCATENATE("R",'Mapa final'!$A$25),"")</f>
        <v/>
      </c>
      <c r="S26" s="365"/>
      <c r="T26" s="365" t="str">
        <f>IF(AND('Mapa final'!$H$31="Media",'Mapa final'!$L$31="Menor"),CONCATENATE("R",'Mapa final'!$A$31),"")</f>
        <v/>
      </c>
      <c r="U26" s="366"/>
      <c r="V26" s="364" t="str">
        <f>IF(AND('Mapa final'!$H$19="Media",'Mapa final'!$L$19="Moderado"),CONCATENATE("R",'Mapa final'!$A$19),"")</f>
        <v/>
      </c>
      <c r="W26" s="365"/>
      <c r="X26" s="365" t="str">
        <f>IF(AND('Mapa final'!$H$25="Media",'Mapa final'!$L$25="Moderado"),CONCATENATE("R",'Mapa final'!$A$25),"")</f>
        <v/>
      </c>
      <c r="Y26" s="365"/>
      <c r="Z26" s="365" t="str">
        <f>IF(AND('Mapa final'!$H$31="Media",'Mapa final'!$L$31="Moderado"),CONCATENATE("R",'Mapa final'!$A$31),"")</f>
        <v/>
      </c>
      <c r="AA26" s="366"/>
      <c r="AB26" s="347" t="str">
        <f>IF(AND('Mapa final'!$H$19="Media",'Mapa final'!$L$19="Mayor"),CONCATENATE("R",'Mapa final'!$A$19),"")</f>
        <v/>
      </c>
      <c r="AC26" s="344"/>
      <c r="AD26" s="342" t="str">
        <f>IF(AND('Mapa final'!$H$25="Media",'Mapa final'!$L$25="Mayor"),CONCATENATE("R",'Mapa final'!$A$25),"")</f>
        <v/>
      </c>
      <c r="AE26" s="342"/>
      <c r="AF26" s="342" t="str">
        <f>IF(AND('Mapa final'!$H$31="Media",'Mapa final'!$L$31="Mayor"),CONCATENATE("R",'Mapa final'!$A$31),"")</f>
        <v/>
      </c>
      <c r="AG26" s="343"/>
      <c r="AH26" s="355" t="str">
        <f>IF(AND('Mapa final'!$H$19="Media",'Mapa final'!$L$19="Catastrófico"),CONCATENATE("R",'Mapa final'!$A$19),"")</f>
        <v/>
      </c>
      <c r="AI26" s="356"/>
      <c r="AJ26" s="356" t="str">
        <f>IF(AND('Mapa final'!$H$25="Media",'Mapa final'!$L$25="Catastrófico"),CONCATENATE("R",'Mapa final'!$A$25),"")</f>
        <v/>
      </c>
      <c r="AK26" s="356"/>
      <c r="AL26" s="356" t="str">
        <f>IF(AND('Mapa final'!$H$31="Media",'Mapa final'!$L$31="Catastrófico"),CONCATENATE("R",'Mapa final'!$A$31),"")</f>
        <v/>
      </c>
      <c r="AM26" s="357"/>
      <c r="AN26" s="84"/>
      <c r="AO26" s="318"/>
      <c r="AP26" s="319"/>
      <c r="AQ26" s="319"/>
      <c r="AR26" s="319"/>
      <c r="AS26" s="319"/>
      <c r="AT26" s="320"/>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x14ac:dyDescent="0.25">
      <c r="A27" s="84"/>
      <c r="B27" s="295"/>
      <c r="C27" s="295"/>
      <c r="D27" s="296"/>
      <c r="E27" s="336"/>
      <c r="F27" s="337"/>
      <c r="G27" s="337"/>
      <c r="H27" s="337"/>
      <c r="I27" s="338"/>
      <c r="J27" s="364"/>
      <c r="K27" s="365"/>
      <c r="L27" s="365"/>
      <c r="M27" s="365"/>
      <c r="N27" s="365"/>
      <c r="O27" s="366"/>
      <c r="P27" s="364"/>
      <c r="Q27" s="365"/>
      <c r="R27" s="365"/>
      <c r="S27" s="365"/>
      <c r="T27" s="365"/>
      <c r="U27" s="366"/>
      <c r="V27" s="364"/>
      <c r="W27" s="365"/>
      <c r="X27" s="365"/>
      <c r="Y27" s="365"/>
      <c r="Z27" s="365"/>
      <c r="AA27" s="366"/>
      <c r="AB27" s="347"/>
      <c r="AC27" s="344"/>
      <c r="AD27" s="342"/>
      <c r="AE27" s="342"/>
      <c r="AF27" s="342"/>
      <c r="AG27" s="343"/>
      <c r="AH27" s="355"/>
      <c r="AI27" s="356"/>
      <c r="AJ27" s="356"/>
      <c r="AK27" s="356"/>
      <c r="AL27" s="356"/>
      <c r="AM27" s="357"/>
      <c r="AN27" s="84"/>
      <c r="AO27" s="318"/>
      <c r="AP27" s="319"/>
      <c r="AQ27" s="319"/>
      <c r="AR27" s="319"/>
      <c r="AS27" s="319"/>
      <c r="AT27" s="320"/>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x14ac:dyDescent="0.25">
      <c r="A28" s="84"/>
      <c r="B28" s="295"/>
      <c r="C28" s="295"/>
      <c r="D28" s="296"/>
      <c r="E28" s="336"/>
      <c r="F28" s="337"/>
      <c r="G28" s="337"/>
      <c r="H28" s="337"/>
      <c r="I28" s="338"/>
      <c r="J28" s="364" t="str">
        <f>IF(AND('Mapa final'!$H$37="Media",'Mapa final'!$L$37="Leve"),CONCATENATE("R",'Mapa final'!$A$37),"")</f>
        <v/>
      </c>
      <c r="K28" s="365"/>
      <c r="L28" s="365" t="str">
        <f>IF(AND('Mapa final'!$H$43="Media",'Mapa final'!$L$43="Leve"),CONCATENATE("R",'Mapa final'!$A$43),"")</f>
        <v/>
      </c>
      <c r="M28" s="365"/>
      <c r="N28" s="365" t="str">
        <f>IF(AND('Mapa final'!$H$49="Media",'Mapa final'!$L$49="Leve"),CONCATENATE("R",'Mapa final'!$A$49),"")</f>
        <v/>
      </c>
      <c r="O28" s="366"/>
      <c r="P28" s="364" t="str">
        <f>IF(AND('Mapa final'!$H$37="Media",'Mapa final'!$L$37="Menor"),CONCATENATE("R",'Mapa final'!$A$37),"")</f>
        <v/>
      </c>
      <c r="Q28" s="365"/>
      <c r="R28" s="365" t="str">
        <f>IF(AND('Mapa final'!$H$43="Media",'Mapa final'!$L$43="Menor"),CONCATENATE("R",'Mapa final'!$A$43),"")</f>
        <v/>
      </c>
      <c r="S28" s="365"/>
      <c r="T28" s="365" t="str">
        <f>IF(AND('Mapa final'!$H$49="Media",'Mapa final'!$L$49="Menor"),CONCATENATE("R",'Mapa final'!$A$49),"")</f>
        <v/>
      </c>
      <c r="U28" s="366"/>
      <c r="V28" s="364" t="str">
        <f>IF(AND('Mapa final'!$H$37="Media",'Mapa final'!$L$37="Moderado"),CONCATENATE("R",'Mapa final'!$A$37),"")</f>
        <v/>
      </c>
      <c r="W28" s="365"/>
      <c r="X28" s="365" t="str">
        <f>IF(AND('Mapa final'!$H$43="Media",'Mapa final'!$L$43="Moderado"),CONCATENATE("R",'Mapa final'!$A$43),"")</f>
        <v/>
      </c>
      <c r="Y28" s="365"/>
      <c r="Z28" s="365" t="str">
        <f>IF(AND('Mapa final'!$H$49="Media",'Mapa final'!$L$49="Moderado"),CONCATENATE("R",'Mapa final'!$A$49),"")</f>
        <v/>
      </c>
      <c r="AA28" s="366"/>
      <c r="AB28" s="347" t="str">
        <f>IF(AND('Mapa final'!$H$37="Media",'Mapa final'!$L$37="Mayor"),CONCATENATE("R",'Mapa final'!$A$37),"")</f>
        <v/>
      </c>
      <c r="AC28" s="344"/>
      <c r="AD28" s="342" t="str">
        <f>IF(AND('Mapa final'!$H$43="Media",'Mapa final'!$L$43="Mayor"),CONCATENATE("R",'Mapa final'!$A$43),"")</f>
        <v/>
      </c>
      <c r="AE28" s="342"/>
      <c r="AF28" s="342" t="str">
        <f>IF(AND('Mapa final'!$H$49="Media",'Mapa final'!$L$49="Mayor"),CONCATENATE("R",'Mapa final'!$A$49),"")</f>
        <v/>
      </c>
      <c r="AG28" s="343"/>
      <c r="AH28" s="355" t="str">
        <f>IF(AND('Mapa final'!$H$37="Media",'Mapa final'!$L$37="Catastrófico"),CONCATENATE("R",'Mapa final'!$A$37),"")</f>
        <v/>
      </c>
      <c r="AI28" s="356"/>
      <c r="AJ28" s="356" t="str">
        <f>IF(AND('Mapa final'!$H$43="Media",'Mapa final'!$L$43="Catastrófico"),CONCATENATE("R",'Mapa final'!$A$43),"")</f>
        <v/>
      </c>
      <c r="AK28" s="356"/>
      <c r="AL28" s="356" t="str">
        <f>IF(AND('Mapa final'!$H$49="Media",'Mapa final'!$L$49="Catastrófico"),CONCATENATE("R",'Mapa final'!$A$49),"")</f>
        <v/>
      </c>
      <c r="AM28" s="357"/>
      <c r="AN28" s="84"/>
      <c r="AO28" s="318"/>
      <c r="AP28" s="319"/>
      <c r="AQ28" s="319"/>
      <c r="AR28" s="319"/>
      <c r="AS28" s="319"/>
      <c r="AT28" s="320"/>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75" thickBot="1" x14ac:dyDescent="0.3">
      <c r="A29" s="84"/>
      <c r="B29" s="295"/>
      <c r="C29" s="295"/>
      <c r="D29" s="296"/>
      <c r="E29" s="339"/>
      <c r="F29" s="340"/>
      <c r="G29" s="340"/>
      <c r="H29" s="340"/>
      <c r="I29" s="341"/>
      <c r="J29" s="364"/>
      <c r="K29" s="365"/>
      <c r="L29" s="365"/>
      <c r="M29" s="365"/>
      <c r="N29" s="365"/>
      <c r="O29" s="366"/>
      <c r="P29" s="367"/>
      <c r="Q29" s="368"/>
      <c r="R29" s="368"/>
      <c r="S29" s="368"/>
      <c r="T29" s="368"/>
      <c r="U29" s="369"/>
      <c r="V29" s="367"/>
      <c r="W29" s="368"/>
      <c r="X29" s="368"/>
      <c r="Y29" s="368"/>
      <c r="Z29" s="368"/>
      <c r="AA29" s="369"/>
      <c r="AB29" s="352"/>
      <c r="AC29" s="353"/>
      <c r="AD29" s="353"/>
      <c r="AE29" s="353"/>
      <c r="AF29" s="353"/>
      <c r="AG29" s="354"/>
      <c r="AH29" s="358"/>
      <c r="AI29" s="359"/>
      <c r="AJ29" s="359"/>
      <c r="AK29" s="359"/>
      <c r="AL29" s="359"/>
      <c r="AM29" s="360"/>
      <c r="AN29" s="84"/>
      <c r="AO29" s="321"/>
      <c r="AP29" s="322"/>
      <c r="AQ29" s="322"/>
      <c r="AR29" s="322"/>
      <c r="AS29" s="322"/>
      <c r="AT29" s="323"/>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x14ac:dyDescent="0.25">
      <c r="A30" s="84"/>
      <c r="B30" s="295"/>
      <c r="C30" s="295"/>
      <c r="D30" s="296"/>
      <c r="E30" s="333" t="s">
        <v>114</v>
      </c>
      <c r="F30" s="334"/>
      <c r="G30" s="334"/>
      <c r="H30" s="334"/>
      <c r="I30" s="334"/>
      <c r="J30" s="379" t="str">
        <f>IF(AND('Mapa final'!$H$10="Baja",'Mapa final'!$L$10="Leve"),CONCATENATE("R",'Mapa final'!$A$10),"")</f>
        <v/>
      </c>
      <c r="K30" s="380"/>
      <c r="L30" s="380" t="e">
        <f>IF(AND('Mapa final'!#REF!="Baja",'Mapa final'!#REF!="Leve"),CONCATENATE("R",'Mapa final'!#REF!),"")</f>
        <v>#REF!</v>
      </c>
      <c r="M30" s="380"/>
      <c r="N30" s="380" t="e">
        <f>IF(AND('Mapa final'!#REF!="Baja",'Mapa final'!#REF!="Leve"),CONCATENATE("R",'Mapa final'!#REF!),"")</f>
        <v>#REF!</v>
      </c>
      <c r="O30" s="381"/>
      <c r="P30" s="371" t="str">
        <f>IF(AND('Mapa final'!$H$10="Baja",'Mapa final'!$L$10="Menor"),CONCATENATE("R",'Mapa final'!$A$10),"")</f>
        <v/>
      </c>
      <c r="Q30" s="371"/>
      <c r="R30" s="371" t="e">
        <f>IF(AND('Mapa final'!#REF!="Baja",'Mapa final'!#REF!="Menor"),CONCATENATE("R",'Mapa final'!#REF!),"")</f>
        <v>#REF!</v>
      </c>
      <c r="S30" s="371"/>
      <c r="T30" s="371" t="e">
        <f>IF(AND('Mapa final'!#REF!="Baja",'Mapa final'!#REF!="Menor"),CONCATENATE("R",'Mapa final'!#REF!),"")</f>
        <v>#REF!</v>
      </c>
      <c r="U30" s="372"/>
      <c r="V30" s="370" t="str">
        <f>IF(AND('Mapa final'!$H$10="Baja",'Mapa final'!$L$10="Moderado"),CONCATENATE("R",'Mapa final'!$A$10),"")</f>
        <v/>
      </c>
      <c r="W30" s="371"/>
      <c r="X30" s="371" t="e">
        <f>IF(AND('Mapa final'!#REF!="Baja",'Mapa final'!#REF!="Moderado"),CONCATENATE("R",'Mapa final'!#REF!),"")</f>
        <v>#REF!</v>
      </c>
      <c r="Y30" s="371"/>
      <c r="Z30" s="371" t="e">
        <f>IF(AND('Mapa final'!#REF!="Baja",'Mapa final'!#REF!="Moderado"),CONCATENATE("R",'Mapa final'!#REF!),"")</f>
        <v>#REF!</v>
      </c>
      <c r="AA30" s="372"/>
      <c r="AB30" s="345" t="str">
        <f>IF(AND('Mapa final'!$H$10="Baja",'Mapa final'!$L$10="Mayor"),CONCATENATE("R",'Mapa final'!$A$10),"")</f>
        <v/>
      </c>
      <c r="AC30" s="346"/>
      <c r="AD30" s="346" t="e">
        <f>IF(AND('Mapa final'!#REF!="Baja",'Mapa final'!#REF!="Mayor"),CONCATENATE("R",'Mapa final'!#REF!),"")</f>
        <v>#REF!</v>
      </c>
      <c r="AE30" s="346"/>
      <c r="AF30" s="346" t="e">
        <f>IF(AND('Mapa final'!#REF!="Baja",'Mapa final'!#REF!="Mayor"),CONCATENATE("R",'Mapa final'!#REF!),"")</f>
        <v>#REF!</v>
      </c>
      <c r="AG30" s="348"/>
      <c r="AH30" s="361" t="str">
        <f>IF(AND('Mapa final'!$H$10="Baja",'Mapa final'!$L$10="Catastrófico"),CONCATENATE("R",'Mapa final'!$A$10),"")</f>
        <v/>
      </c>
      <c r="AI30" s="362"/>
      <c r="AJ30" s="362" t="e">
        <f>IF(AND('Mapa final'!#REF!="Baja",'Mapa final'!#REF!="Catastrófico"),CONCATENATE("R",'Mapa final'!#REF!),"")</f>
        <v>#REF!</v>
      </c>
      <c r="AK30" s="362"/>
      <c r="AL30" s="362" t="e">
        <f>IF(AND('Mapa final'!#REF!="Baja",'Mapa final'!#REF!="Catastrófico"),CONCATENATE("R",'Mapa final'!#REF!),"")</f>
        <v>#REF!</v>
      </c>
      <c r="AM30" s="363"/>
      <c r="AN30" s="84"/>
      <c r="AO30" s="324" t="s">
        <v>82</v>
      </c>
      <c r="AP30" s="325"/>
      <c r="AQ30" s="325"/>
      <c r="AR30" s="325"/>
      <c r="AS30" s="325"/>
      <c r="AT30" s="326"/>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x14ac:dyDescent="0.25">
      <c r="A31" s="84"/>
      <c r="B31" s="295"/>
      <c r="C31" s="295"/>
      <c r="D31" s="296"/>
      <c r="E31" s="336"/>
      <c r="F31" s="337"/>
      <c r="G31" s="337"/>
      <c r="H31" s="337"/>
      <c r="I31" s="350"/>
      <c r="J31" s="375"/>
      <c r="K31" s="373"/>
      <c r="L31" s="373"/>
      <c r="M31" s="373"/>
      <c r="N31" s="373"/>
      <c r="O31" s="374"/>
      <c r="P31" s="365"/>
      <c r="Q31" s="365"/>
      <c r="R31" s="365"/>
      <c r="S31" s="365"/>
      <c r="T31" s="365"/>
      <c r="U31" s="366"/>
      <c r="V31" s="364"/>
      <c r="W31" s="365"/>
      <c r="X31" s="365"/>
      <c r="Y31" s="365"/>
      <c r="Z31" s="365"/>
      <c r="AA31" s="366"/>
      <c r="AB31" s="347"/>
      <c r="AC31" s="344"/>
      <c r="AD31" s="344"/>
      <c r="AE31" s="344"/>
      <c r="AF31" s="344"/>
      <c r="AG31" s="343"/>
      <c r="AH31" s="355"/>
      <c r="AI31" s="356"/>
      <c r="AJ31" s="356"/>
      <c r="AK31" s="356"/>
      <c r="AL31" s="356"/>
      <c r="AM31" s="357"/>
      <c r="AN31" s="84"/>
      <c r="AO31" s="327"/>
      <c r="AP31" s="328"/>
      <c r="AQ31" s="328"/>
      <c r="AR31" s="328"/>
      <c r="AS31" s="328"/>
      <c r="AT31" s="329"/>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x14ac:dyDescent="0.25">
      <c r="A32" s="84"/>
      <c r="B32" s="295"/>
      <c r="C32" s="295"/>
      <c r="D32" s="296"/>
      <c r="E32" s="336"/>
      <c r="F32" s="337"/>
      <c r="G32" s="337"/>
      <c r="H32" s="337"/>
      <c r="I32" s="350"/>
      <c r="J32" s="375" t="str">
        <f>IF(AND('Mapa final'!$H$12="Baja",'Mapa final'!$L$12="Leve"),CONCATENATE("R",'Mapa final'!$A$12),"")</f>
        <v/>
      </c>
      <c r="K32" s="373"/>
      <c r="L32" s="373" t="e">
        <f>IF(AND('Mapa final'!#REF!="Baja",'Mapa final'!#REF!="Leve"),CONCATENATE("R",'Mapa final'!#REF!),"")</f>
        <v>#REF!</v>
      </c>
      <c r="M32" s="373"/>
      <c r="N32" s="373" t="str">
        <f>IF(AND('Mapa final'!$H$13="Baja",'Mapa final'!$L$13="Leve"),CONCATENATE("R",'Mapa final'!$A$13),"")</f>
        <v/>
      </c>
      <c r="O32" s="374"/>
      <c r="P32" s="365" t="str">
        <f>IF(AND('Mapa final'!$H$12="Baja",'Mapa final'!$L$12="Menor"),CONCATENATE("R",'Mapa final'!$A$12),"")</f>
        <v/>
      </c>
      <c r="Q32" s="365"/>
      <c r="R32" s="365" t="e">
        <f>IF(AND('Mapa final'!#REF!="Baja",'Mapa final'!#REF!="Menor"),CONCATENATE("R",'Mapa final'!#REF!),"")</f>
        <v>#REF!</v>
      </c>
      <c r="S32" s="365"/>
      <c r="T32" s="365" t="str">
        <f>IF(AND('Mapa final'!$H$13="Baja",'Mapa final'!$L$13="Menor"),CONCATENATE("R",'Mapa final'!$A$13),"")</f>
        <v/>
      </c>
      <c r="U32" s="366"/>
      <c r="V32" s="364" t="str">
        <f>IF(AND('Mapa final'!$H$12="Baja",'Mapa final'!$L$12="Moderado"),CONCATENATE("R",'Mapa final'!$A$12),"")</f>
        <v/>
      </c>
      <c r="W32" s="365"/>
      <c r="X32" s="365" t="e">
        <f>IF(AND('Mapa final'!#REF!="Baja",'Mapa final'!#REF!="Moderado"),CONCATENATE("R",'Mapa final'!#REF!),"")</f>
        <v>#REF!</v>
      </c>
      <c r="Y32" s="365"/>
      <c r="Z32" s="365" t="str">
        <f>IF(AND('Mapa final'!$H$13="Baja",'Mapa final'!$L$13="Moderado"),CONCATENATE("R",'Mapa final'!$A$13),"")</f>
        <v/>
      </c>
      <c r="AA32" s="366"/>
      <c r="AB32" s="347" t="str">
        <f>IF(AND('Mapa final'!$H$12="Baja",'Mapa final'!$L$12="Mayor"),CONCATENATE("R",'Mapa final'!$A$12),"")</f>
        <v/>
      </c>
      <c r="AC32" s="344"/>
      <c r="AD32" s="342" t="e">
        <f>IF(AND('Mapa final'!#REF!="Baja",'Mapa final'!#REF!="Mayor"),CONCATENATE("R",'Mapa final'!#REF!),"")</f>
        <v>#REF!</v>
      </c>
      <c r="AE32" s="342"/>
      <c r="AF32" s="342" t="str">
        <f>IF(AND('Mapa final'!$H$13="Baja",'Mapa final'!$L$13="Mayor"),CONCATENATE("R",'Mapa final'!$A$13),"")</f>
        <v/>
      </c>
      <c r="AG32" s="343"/>
      <c r="AH32" s="355" t="str">
        <f>IF(AND('Mapa final'!$H$12="Baja",'Mapa final'!$L$12="Catastrófico"),CONCATENATE("R",'Mapa final'!$A$12),"")</f>
        <v/>
      </c>
      <c r="AI32" s="356"/>
      <c r="AJ32" s="356" t="e">
        <f>IF(AND('Mapa final'!#REF!="Baja",'Mapa final'!#REF!="Catastrófico"),CONCATENATE("R",'Mapa final'!#REF!),"")</f>
        <v>#REF!</v>
      </c>
      <c r="AK32" s="356"/>
      <c r="AL32" s="356" t="str">
        <f>IF(AND('Mapa final'!$H$13="Baja",'Mapa final'!$L$13="Catastrófico"),CONCATENATE("R",'Mapa final'!$A$13),"")</f>
        <v/>
      </c>
      <c r="AM32" s="357"/>
      <c r="AN32" s="84"/>
      <c r="AO32" s="327"/>
      <c r="AP32" s="328"/>
      <c r="AQ32" s="328"/>
      <c r="AR32" s="328"/>
      <c r="AS32" s="328"/>
      <c r="AT32" s="329"/>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x14ac:dyDescent="0.25">
      <c r="A33" s="84"/>
      <c r="B33" s="295"/>
      <c r="C33" s="295"/>
      <c r="D33" s="296"/>
      <c r="E33" s="336"/>
      <c r="F33" s="337"/>
      <c r="G33" s="337"/>
      <c r="H33" s="337"/>
      <c r="I33" s="350"/>
      <c r="J33" s="375"/>
      <c r="K33" s="373"/>
      <c r="L33" s="373"/>
      <c r="M33" s="373"/>
      <c r="N33" s="373"/>
      <c r="O33" s="374"/>
      <c r="P33" s="365"/>
      <c r="Q33" s="365"/>
      <c r="R33" s="365"/>
      <c r="S33" s="365"/>
      <c r="T33" s="365"/>
      <c r="U33" s="366"/>
      <c r="V33" s="364"/>
      <c r="W33" s="365"/>
      <c r="X33" s="365"/>
      <c r="Y33" s="365"/>
      <c r="Z33" s="365"/>
      <c r="AA33" s="366"/>
      <c r="AB33" s="347"/>
      <c r="AC33" s="344"/>
      <c r="AD33" s="342"/>
      <c r="AE33" s="342"/>
      <c r="AF33" s="342"/>
      <c r="AG33" s="343"/>
      <c r="AH33" s="355"/>
      <c r="AI33" s="356"/>
      <c r="AJ33" s="356"/>
      <c r="AK33" s="356"/>
      <c r="AL33" s="356"/>
      <c r="AM33" s="357"/>
      <c r="AN33" s="84"/>
      <c r="AO33" s="327"/>
      <c r="AP33" s="328"/>
      <c r="AQ33" s="328"/>
      <c r="AR33" s="328"/>
      <c r="AS33" s="328"/>
      <c r="AT33" s="329"/>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x14ac:dyDescent="0.25">
      <c r="A34" s="84"/>
      <c r="B34" s="295"/>
      <c r="C34" s="295"/>
      <c r="D34" s="296"/>
      <c r="E34" s="336"/>
      <c r="F34" s="337"/>
      <c r="G34" s="337"/>
      <c r="H34" s="337"/>
      <c r="I34" s="350"/>
      <c r="J34" s="375" t="str">
        <f>IF(AND('Mapa final'!$H$19="Baja",'Mapa final'!$L$19="Leve"),CONCATENATE("R",'Mapa final'!$A$19),"")</f>
        <v/>
      </c>
      <c r="K34" s="373"/>
      <c r="L34" s="373" t="str">
        <f>IF(AND('Mapa final'!$H$25="Baja",'Mapa final'!$L$25="Leve"),CONCATENATE("R",'Mapa final'!$A$25),"")</f>
        <v/>
      </c>
      <c r="M34" s="373"/>
      <c r="N34" s="373" t="str">
        <f>IF(AND('Mapa final'!$H$31="Baja",'Mapa final'!$L$31="Leve"),CONCATENATE("R",'Mapa final'!$A$31),"")</f>
        <v/>
      </c>
      <c r="O34" s="374"/>
      <c r="P34" s="365" t="str">
        <f>IF(AND('Mapa final'!$H$19="Baja",'Mapa final'!$L$19="Menor"),CONCATENATE("R",'Mapa final'!$A$19),"")</f>
        <v/>
      </c>
      <c r="Q34" s="365"/>
      <c r="R34" s="365" t="str">
        <f>IF(AND('Mapa final'!$H$25="Baja",'Mapa final'!$L$25="Menor"),CONCATENATE("R",'Mapa final'!$A$25),"")</f>
        <v/>
      </c>
      <c r="S34" s="365"/>
      <c r="T34" s="365" t="str">
        <f>IF(AND('Mapa final'!$H$31="Baja",'Mapa final'!$L$31="Menor"),CONCATENATE("R",'Mapa final'!$A$31),"")</f>
        <v/>
      </c>
      <c r="U34" s="366"/>
      <c r="V34" s="364" t="str">
        <f>IF(AND('Mapa final'!$H$19="Baja",'Mapa final'!$L$19="Moderado"),CONCATENATE("R",'Mapa final'!$A$19),"")</f>
        <v/>
      </c>
      <c r="W34" s="365"/>
      <c r="X34" s="365" t="str">
        <f>IF(AND('Mapa final'!$H$25="Baja",'Mapa final'!$L$25="Moderado"),CONCATENATE("R",'Mapa final'!$A$25),"")</f>
        <v/>
      </c>
      <c r="Y34" s="365"/>
      <c r="Z34" s="365" t="str">
        <f>IF(AND('Mapa final'!$H$31="Baja",'Mapa final'!$L$31="Moderado"),CONCATENATE("R",'Mapa final'!$A$31),"")</f>
        <v/>
      </c>
      <c r="AA34" s="366"/>
      <c r="AB34" s="347" t="str">
        <f>IF(AND('Mapa final'!$H$19="Baja",'Mapa final'!$L$19="Mayor"),CONCATENATE("R",'Mapa final'!$A$19),"")</f>
        <v/>
      </c>
      <c r="AC34" s="344"/>
      <c r="AD34" s="342" t="str">
        <f>IF(AND('Mapa final'!$H$25="Baja",'Mapa final'!$L$25="Mayor"),CONCATENATE("R",'Mapa final'!$A$25),"")</f>
        <v/>
      </c>
      <c r="AE34" s="342"/>
      <c r="AF34" s="342" t="str">
        <f>IF(AND('Mapa final'!$H$31="Baja",'Mapa final'!$L$31="Mayor"),CONCATENATE("R",'Mapa final'!$A$31),"")</f>
        <v/>
      </c>
      <c r="AG34" s="343"/>
      <c r="AH34" s="355" t="str">
        <f>IF(AND('Mapa final'!$H$19="Baja",'Mapa final'!$L$19="Catastrófico"),CONCATENATE("R",'Mapa final'!$A$19),"")</f>
        <v/>
      </c>
      <c r="AI34" s="356"/>
      <c r="AJ34" s="356" t="str">
        <f>IF(AND('Mapa final'!$H$25="Baja",'Mapa final'!$L$25="Catastrófico"),CONCATENATE("R",'Mapa final'!$A$25),"")</f>
        <v/>
      </c>
      <c r="AK34" s="356"/>
      <c r="AL34" s="356" t="str">
        <f>IF(AND('Mapa final'!$H$31="Baja",'Mapa final'!$L$31="Catastrófico"),CONCATENATE("R",'Mapa final'!$A$31),"")</f>
        <v/>
      </c>
      <c r="AM34" s="357"/>
      <c r="AN34" s="84"/>
      <c r="AO34" s="327"/>
      <c r="AP34" s="328"/>
      <c r="AQ34" s="328"/>
      <c r="AR34" s="328"/>
      <c r="AS34" s="328"/>
      <c r="AT34" s="329"/>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x14ac:dyDescent="0.25">
      <c r="A35" s="84"/>
      <c r="B35" s="295"/>
      <c r="C35" s="295"/>
      <c r="D35" s="296"/>
      <c r="E35" s="336"/>
      <c r="F35" s="337"/>
      <c r="G35" s="337"/>
      <c r="H35" s="337"/>
      <c r="I35" s="350"/>
      <c r="J35" s="375"/>
      <c r="K35" s="373"/>
      <c r="L35" s="373"/>
      <c r="M35" s="373"/>
      <c r="N35" s="373"/>
      <c r="O35" s="374"/>
      <c r="P35" s="365"/>
      <c r="Q35" s="365"/>
      <c r="R35" s="365"/>
      <c r="S35" s="365"/>
      <c r="T35" s="365"/>
      <c r="U35" s="366"/>
      <c r="V35" s="364"/>
      <c r="W35" s="365"/>
      <c r="X35" s="365"/>
      <c r="Y35" s="365"/>
      <c r="Z35" s="365"/>
      <c r="AA35" s="366"/>
      <c r="AB35" s="347"/>
      <c r="AC35" s="344"/>
      <c r="AD35" s="342"/>
      <c r="AE35" s="342"/>
      <c r="AF35" s="342"/>
      <c r="AG35" s="343"/>
      <c r="AH35" s="355"/>
      <c r="AI35" s="356"/>
      <c r="AJ35" s="356"/>
      <c r="AK35" s="356"/>
      <c r="AL35" s="356"/>
      <c r="AM35" s="357"/>
      <c r="AN35" s="84"/>
      <c r="AO35" s="327"/>
      <c r="AP35" s="328"/>
      <c r="AQ35" s="328"/>
      <c r="AR35" s="328"/>
      <c r="AS35" s="328"/>
      <c r="AT35" s="329"/>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x14ac:dyDescent="0.25">
      <c r="A36" s="84"/>
      <c r="B36" s="295"/>
      <c r="C36" s="295"/>
      <c r="D36" s="296"/>
      <c r="E36" s="336"/>
      <c r="F36" s="337"/>
      <c r="G36" s="337"/>
      <c r="H36" s="337"/>
      <c r="I36" s="350"/>
      <c r="J36" s="375" t="str">
        <f>IF(AND('Mapa final'!$H$37="Baja",'Mapa final'!$L$37="Leve"),CONCATENATE("R",'Mapa final'!$A$37),"")</f>
        <v/>
      </c>
      <c r="K36" s="373"/>
      <c r="L36" s="373" t="str">
        <f>IF(AND('Mapa final'!$H$43="Baja",'Mapa final'!$L$43="Leve"),CONCATENATE("R",'Mapa final'!$A$43),"")</f>
        <v/>
      </c>
      <c r="M36" s="373"/>
      <c r="N36" s="373" t="str">
        <f>IF(AND('Mapa final'!$H$49="Baja",'Mapa final'!$L$49="Leve"),CONCATENATE("R",'Mapa final'!$A$49),"")</f>
        <v/>
      </c>
      <c r="O36" s="374"/>
      <c r="P36" s="365" t="str">
        <f>IF(AND('Mapa final'!$H$37="Baja",'Mapa final'!$L$37="Menor"),CONCATENATE("R",'Mapa final'!$A$37),"")</f>
        <v/>
      </c>
      <c r="Q36" s="365"/>
      <c r="R36" s="365" t="str">
        <f>IF(AND('Mapa final'!$H$43="Baja",'Mapa final'!$L$43="Menor"),CONCATENATE("R",'Mapa final'!$A$43),"")</f>
        <v/>
      </c>
      <c r="S36" s="365"/>
      <c r="T36" s="365" t="str">
        <f>IF(AND('Mapa final'!$H$49="Baja",'Mapa final'!$L$49="Menor"),CONCATENATE("R",'Mapa final'!$A$49),"")</f>
        <v/>
      </c>
      <c r="U36" s="366"/>
      <c r="V36" s="364" t="str">
        <f>IF(AND('Mapa final'!$H$37="Baja",'Mapa final'!$L$37="Moderado"),CONCATENATE("R",'Mapa final'!$A$37),"")</f>
        <v/>
      </c>
      <c r="W36" s="365"/>
      <c r="X36" s="365" t="str">
        <f>IF(AND('Mapa final'!$H$43="Baja",'Mapa final'!$L$43="Moderado"),CONCATENATE("R",'Mapa final'!$A$43),"")</f>
        <v/>
      </c>
      <c r="Y36" s="365"/>
      <c r="Z36" s="365" t="str">
        <f>IF(AND('Mapa final'!$H$49="Baja",'Mapa final'!$L$49="Moderado"),CONCATENATE("R",'Mapa final'!$A$49),"")</f>
        <v/>
      </c>
      <c r="AA36" s="366"/>
      <c r="AB36" s="347" t="str">
        <f>IF(AND('Mapa final'!$H$37="Baja",'Mapa final'!$L$37="Mayor"),CONCATENATE("R",'Mapa final'!$A$37),"")</f>
        <v/>
      </c>
      <c r="AC36" s="344"/>
      <c r="AD36" s="342" t="str">
        <f>IF(AND('Mapa final'!$H$43="Baja",'Mapa final'!$L$43="Mayor"),CONCATENATE("R",'Mapa final'!$A$43),"")</f>
        <v/>
      </c>
      <c r="AE36" s="342"/>
      <c r="AF36" s="342" t="str">
        <f>IF(AND('Mapa final'!$H$49="Baja",'Mapa final'!$L$49="Mayor"),CONCATENATE("R",'Mapa final'!$A$49),"")</f>
        <v/>
      </c>
      <c r="AG36" s="343"/>
      <c r="AH36" s="355" t="str">
        <f>IF(AND('Mapa final'!$H$37="Baja",'Mapa final'!$L$37="Catastrófico"),CONCATENATE("R",'Mapa final'!$A$37),"")</f>
        <v/>
      </c>
      <c r="AI36" s="356"/>
      <c r="AJ36" s="356" t="str">
        <f>IF(AND('Mapa final'!$H$43="Baja",'Mapa final'!$L$43="Catastrófico"),CONCATENATE("R",'Mapa final'!$A$43),"")</f>
        <v/>
      </c>
      <c r="AK36" s="356"/>
      <c r="AL36" s="356" t="str">
        <f>IF(AND('Mapa final'!$H$49="Baja",'Mapa final'!$L$49="Catastrófico"),CONCATENATE("R",'Mapa final'!$A$49),"")</f>
        <v/>
      </c>
      <c r="AM36" s="357"/>
      <c r="AN36" s="84"/>
      <c r="AO36" s="327"/>
      <c r="AP36" s="328"/>
      <c r="AQ36" s="328"/>
      <c r="AR36" s="328"/>
      <c r="AS36" s="328"/>
      <c r="AT36" s="329"/>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75" thickBot="1" x14ac:dyDescent="0.3">
      <c r="A37" s="84"/>
      <c r="B37" s="295"/>
      <c r="C37" s="295"/>
      <c r="D37" s="296"/>
      <c r="E37" s="339"/>
      <c r="F37" s="340"/>
      <c r="G37" s="340"/>
      <c r="H37" s="340"/>
      <c r="I37" s="340"/>
      <c r="J37" s="376"/>
      <c r="K37" s="377"/>
      <c r="L37" s="377"/>
      <c r="M37" s="377"/>
      <c r="N37" s="377"/>
      <c r="O37" s="378"/>
      <c r="P37" s="368"/>
      <c r="Q37" s="368"/>
      <c r="R37" s="368"/>
      <c r="S37" s="368"/>
      <c r="T37" s="368"/>
      <c r="U37" s="369"/>
      <c r="V37" s="367"/>
      <c r="W37" s="368"/>
      <c r="X37" s="368"/>
      <c r="Y37" s="368"/>
      <c r="Z37" s="368"/>
      <c r="AA37" s="369"/>
      <c r="AB37" s="352"/>
      <c r="AC37" s="353"/>
      <c r="AD37" s="353"/>
      <c r="AE37" s="353"/>
      <c r="AF37" s="353"/>
      <c r="AG37" s="354"/>
      <c r="AH37" s="358"/>
      <c r="AI37" s="359"/>
      <c r="AJ37" s="359"/>
      <c r="AK37" s="359"/>
      <c r="AL37" s="359"/>
      <c r="AM37" s="360"/>
      <c r="AN37" s="84"/>
      <c r="AO37" s="330"/>
      <c r="AP37" s="331"/>
      <c r="AQ37" s="331"/>
      <c r="AR37" s="331"/>
      <c r="AS37" s="331"/>
      <c r="AT37" s="332"/>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x14ac:dyDescent="0.25">
      <c r="A38" s="84"/>
      <c r="B38" s="295"/>
      <c r="C38" s="295"/>
      <c r="D38" s="296"/>
      <c r="E38" s="333" t="s">
        <v>113</v>
      </c>
      <c r="F38" s="334"/>
      <c r="G38" s="334"/>
      <c r="H38" s="334"/>
      <c r="I38" s="335"/>
      <c r="J38" s="379" t="str">
        <f>IF(AND('Mapa final'!$H$10="Muy Baja",'Mapa final'!$L$10="Leve"),CONCATENATE("R",'Mapa final'!$A$10),"")</f>
        <v/>
      </c>
      <c r="K38" s="380"/>
      <c r="L38" s="380" t="e">
        <f>IF(AND('Mapa final'!#REF!="Muy Baja",'Mapa final'!#REF!="Leve"),CONCATENATE("R",'Mapa final'!#REF!),"")</f>
        <v>#REF!</v>
      </c>
      <c r="M38" s="380"/>
      <c r="N38" s="380" t="e">
        <f>IF(AND('Mapa final'!#REF!="Muy Baja",'Mapa final'!#REF!="Leve"),CONCATENATE("R",'Mapa final'!#REF!),"")</f>
        <v>#REF!</v>
      </c>
      <c r="O38" s="381"/>
      <c r="P38" s="379" t="str">
        <f>IF(AND('Mapa final'!$H$10="Muy Baja",'Mapa final'!$L$10="Menor"),CONCATENATE("R",'Mapa final'!$A$10),"")</f>
        <v/>
      </c>
      <c r="Q38" s="380"/>
      <c r="R38" s="380" t="e">
        <f>IF(AND('Mapa final'!#REF!="Muy Baja",'Mapa final'!#REF!="Menor"),CONCATENATE("R",'Mapa final'!#REF!),"")</f>
        <v>#REF!</v>
      </c>
      <c r="S38" s="380"/>
      <c r="T38" s="380" t="e">
        <f>IF(AND('Mapa final'!#REF!="Muy Baja",'Mapa final'!#REF!="Menor"),CONCATENATE("R",'Mapa final'!#REF!),"")</f>
        <v>#REF!</v>
      </c>
      <c r="U38" s="381"/>
      <c r="V38" s="370" t="str">
        <f>IF(AND('Mapa final'!$H$10="Muy Baja",'Mapa final'!$L$10="Moderado"),CONCATENATE("R",'Mapa final'!$A$10),"")</f>
        <v/>
      </c>
      <c r="W38" s="371"/>
      <c r="X38" s="371" t="e">
        <f>IF(AND('Mapa final'!#REF!="Muy Baja",'Mapa final'!#REF!="Moderado"),CONCATENATE("R",'Mapa final'!#REF!),"")</f>
        <v>#REF!</v>
      </c>
      <c r="Y38" s="371"/>
      <c r="Z38" s="371" t="e">
        <f>IF(AND('Mapa final'!#REF!="Muy Baja",'Mapa final'!#REF!="Moderado"),CONCATENATE("R",'Mapa final'!#REF!),"")</f>
        <v>#REF!</v>
      </c>
      <c r="AA38" s="372"/>
      <c r="AB38" s="345" t="str">
        <f>IF(AND('Mapa final'!$H$10="Muy Baja",'Mapa final'!$L$10="Mayor"),CONCATENATE("R",'Mapa final'!$A$10),"")</f>
        <v/>
      </c>
      <c r="AC38" s="346"/>
      <c r="AD38" s="346" t="e">
        <f>IF(AND('Mapa final'!#REF!="Muy Baja",'Mapa final'!#REF!="Mayor"),CONCATENATE("R",'Mapa final'!#REF!),"")</f>
        <v>#REF!</v>
      </c>
      <c r="AE38" s="346"/>
      <c r="AF38" s="346" t="e">
        <f>IF(AND('Mapa final'!#REF!="Muy Baja",'Mapa final'!#REF!="Mayor"),CONCATENATE("R",'Mapa final'!#REF!),"")</f>
        <v>#REF!</v>
      </c>
      <c r="AG38" s="348"/>
      <c r="AH38" s="361" t="str">
        <f>IF(AND('Mapa final'!$H$10="Muy Baja",'Mapa final'!$L$10="Catastrófico"),CONCATENATE("R",'Mapa final'!$A$10),"")</f>
        <v/>
      </c>
      <c r="AI38" s="362"/>
      <c r="AJ38" s="362" t="e">
        <f>IF(AND('Mapa final'!#REF!="Muy Baja",'Mapa final'!#REF!="Catastrófico"),CONCATENATE("R",'Mapa final'!#REF!),"")</f>
        <v>#REF!</v>
      </c>
      <c r="AK38" s="362"/>
      <c r="AL38" s="362" t="e">
        <f>IF(AND('Mapa final'!#REF!="Muy Baja",'Mapa final'!#REF!="Catastrófico"),CONCATENATE("R",'Mapa final'!#REF!),"")</f>
        <v>#REF!</v>
      </c>
      <c r="AM38" s="363"/>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x14ac:dyDescent="0.25">
      <c r="A39" s="84"/>
      <c r="B39" s="295"/>
      <c r="C39" s="295"/>
      <c r="D39" s="296"/>
      <c r="E39" s="336"/>
      <c r="F39" s="337"/>
      <c r="G39" s="337"/>
      <c r="H39" s="337"/>
      <c r="I39" s="338"/>
      <c r="J39" s="375"/>
      <c r="K39" s="373"/>
      <c r="L39" s="373"/>
      <c r="M39" s="373"/>
      <c r="N39" s="373"/>
      <c r="O39" s="374"/>
      <c r="P39" s="375"/>
      <c r="Q39" s="373"/>
      <c r="R39" s="373"/>
      <c r="S39" s="373"/>
      <c r="T39" s="373"/>
      <c r="U39" s="374"/>
      <c r="V39" s="364"/>
      <c r="W39" s="365"/>
      <c r="X39" s="365"/>
      <c r="Y39" s="365"/>
      <c r="Z39" s="365"/>
      <c r="AA39" s="366"/>
      <c r="AB39" s="347"/>
      <c r="AC39" s="344"/>
      <c r="AD39" s="344"/>
      <c r="AE39" s="344"/>
      <c r="AF39" s="344"/>
      <c r="AG39" s="343"/>
      <c r="AH39" s="355"/>
      <c r="AI39" s="356"/>
      <c r="AJ39" s="356"/>
      <c r="AK39" s="356"/>
      <c r="AL39" s="356"/>
      <c r="AM39" s="357"/>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x14ac:dyDescent="0.25">
      <c r="A40" s="84"/>
      <c r="B40" s="295"/>
      <c r="C40" s="295"/>
      <c r="D40" s="296"/>
      <c r="E40" s="336"/>
      <c r="F40" s="337"/>
      <c r="G40" s="337"/>
      <c r="H40" s="337"/>
      <c r="I40" s="338"/>
      <c r="J40" s="375" t="str">
        <f>IF(AND('Mapa final'!$H$12="Muy Baja",'Mapa final'!$L$12="Leve"),CONCATENATE("R",'Mapa final'!$A$12),"")</f>
        <v/>
      </c>
      <c r="K40" s="373"/>
      <c r="L40" s="373" t="e">
        <f>IF(AND('Mapa final'!#REF!="Muy Baja",'Mapa final'!#REF!="Leve"),CONCATENATE("R",'Mapa final'!#REF!),"")</f>
        <v>#REF!</v>
      </c>
      <c r="M40" s="373"/>
      <c r="N40" s="373" t="str">
        <f>IF(AND('Mapa final'!$H$13="Muy Baja",'Mapa final'!$L$13="Leve"),CONCATENATE("R",'Mapa final'!$A$13),"")</f>
        <v/>
      </c>
      <c r="O40" s="374"/>
      <c r="P40" s="375" t="str">
        <f>IF(AND('Mapa final'!$H$12="Muy Baja",'Mapa final'!$L$12="Menor"),CONCATENATE("R",'Mapa final'!$A$12),"")</f>
        <v/>
      </c>
      <c r="Q40" s="373"/>
      <c r="R40" s="373" t="e">
        <f>IF(AND('Mapa final'!#REF!="Muy Baja",'Mapa final'!#REF!="Menor"),CONCATENATE("R",'Mapa final'!#REF!),"")</f>
        <v>#REF!</v>
      </c>
      <c r="S40" s="373"/>
      <c r="T40" s="373" t="str">
        <f>IF(AND('Mapa final'!$H$13="Muy Baja",'Mapa final'!$L$13="Menor"),CONCATENATE("R",'Mapa final'!$A$13),"")</f>
        <v/>
      </c>
      <c r="U40" s="374"/>
      <c r="V40" s="364" t="str">
        <f>IF(AND('Mapa final'!$H$12="Muy Baja",'Mapa final'!$L$12="Moderado"),CONCATENATE("R",'Mapa final'!$A$12),"")</f>
        <v/>
      </c>
      <c r="W40" s="365"/>
      <c r="X40" s="365" t="e">
        <f>IF(AND('Mapa final'!#REF!="Muy Baja",'Mapa final'!#REF!="Moderado"),CONCATENATE("R",'Mapa final'!#REF!),"")</f>
        <v>#REF!</v>
      </c>
      <c r="Y40" s="365"/>
      <c r="Z40" s="365" t="str">
        <f>IF(AND('Mapa final'!$H$13="Muy Baja",'Mapa final'!$L$13="Moderado"),CONCATENATE("R",'Mapa final'!$A$13),"")</f>
        <v/>
      </c>
      <c r="AA40" s="366"/>
      <c r="AB40" s="347" t="str">
        <f>IF(AND('Mapa final'!$H$12="Muy Baja",'Mapa final'!$L$12="Mayor"),CONCATENATE("R",'Mapa final'!$A$12),"")</f>
        <v/>
      </c>
      <c r="AC40" s="344"/>
      <c r="AD40" s="342" t="e">
        <f>IF(AND('Mapa final'!#REF!="Muy Baja",'Mapa final'!#REF!="Mayor"),CONCATENATE("R",'Mapa final'!#REF!),"")</f>
        <v>#REF!</v>
      </c>
      <c r="AE40" s="342"/>
      <c r="AF40" s="342" t="str">
        <f>IF(AND('Mapa final'!$H$13="Muy Baja",'Mapa final'!$L$13="Mayor"),CONCATENATE("R",'Mapa final'!$A$13),"")</f>
        <v/>
      </c>
      <c r="AG40" s="343"/>
      <c r="AH40" s="355" t="str">
        <f>IF(AND('Mapa final'!$H$12="Muy Baja",'Mapa final'!$L$12="Catastrófico"),CONCATENATE("R",'Mapa final'!$A$12),"")</f>
        <v/>
      </c>
      <c r="AI40" s="356"/>
      <c r="AJ40" s="356" t="e">
        <f>IF(AND('Mapa final'!#REF!="Muy Baja",'Mapa final'!#REF!="Catastrófico"),CONCATENATE("R",'Mapa final'!#REF!),"")</f>
        <v>#REF!</v>
      </c>
      <c r="AK40" s="356"/>
      <c r="AL40" s="356" t="str">
        <f>IF(AND('Mapa final'!$H$13="Muy Baja",'Mapa final'!$L$13="Catastrófico"),CONCATENATE("R",'Mapa final'!$A$13),"")</f>
        <v/>
      </c>
      <c r="AM40" s="357"/>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x14ac:dyDescent="0.25">
      <c r="A41" s="84"/>
      <c r="B41" s="295"/>
      <c r="C41" s="295"/>
      <c r="D41" s="296"/>
      <c r="E41" s="336"/>
      <c r="F41" s="337"/>
      <c r="G41" s="337"/>
      <c r="H41" s="337"/>
      <c r="I41" s="338"/>
      <c r="J41" s="375"/>
      <c r="K41" s="373"/>
      <c r="L41" s="373"/>
      <c r="M41" s="373"/>
      <c r="N41" s="373"/>
      <c r="O41" s="374"/>
      <c r="P41" s="375"/>
      <c r="Q41" s="373"/>
      <c r="R41" s="373"/>
      <c r="S41" s="373"/>
      <c r="T41" s="373"/>
      <c r="U41" s="374"/>
      <c r="V41" s="364"/>
      <c r="W41" s="365"/>
      <c r="X41" s="365"/>
      <c r="Y41" s="365"/>
      <c r="Z41" s="365"/>
      <c r="AA41" s="366"/>
      <c r="AB41" s="347"/>
      <c r="AC41" s="344"/>
      <c r="AD41" s="342"/>
      <c r="AE41" s="342"/>
      <c r="AF41" s="342"/>
      <c r="AG41" s="343"/>
      <c r="AH41" s="355"/>
      <c r="AI41" s="356"/>
      <c r="AJ41" s="356"/>
      <c r="AK41" s="356"/>
      <c r="AL41" s="356"/>
      <c r="AM41" s="357"/>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x14ac:dyDescent="0.25">
      <c r="A42" s="84"/>
      <c r="B42" s="295"/>
      <c r="C42" s="295"/>
      <c r="D42" s="296"/>
      <c r="E42" s="336"/>
      <c r="F42" s="337"/>
      <c r="G42" s="337"/>
      <c r="H42" s="337"/>
      <c r="I42" s="338"/>
      <c r="J42" s="375" t="str">
        <f>IF(AND('Mapa final'!$H$19="Muy Baja",'Mapa final'!$L$19="Leve"),CONCATENATE("R",'Mapa final'!$A$19),"")</f>
        <v/>
      </c>
      <c r="K42" s="373"/>
      <c r="L42" s="373" t="str">
        <f>IF(AND('Mapa final'!$H$25="Muy Baja",'Mapa final'!$L$25="Leve"),CONCATENATE("R",'Mapa final'!$A$25),"")</f>
        <v/>
      </c>
      <c r="M42" s="373"/>
      <c r="N42" s="373" t="str">
        <f>IF(AND('Mapa final'!$H$31="Muy Baja",'Mapa final'!$L$31="Leve"),CONCATENATE("R",'Mapa final'!$A$31),"")</f>
        <v/>
      </c>
      <c r="O42" s="374"/>
      <c r="P42" s="375" t="str">
        <f>IF(AND('Mapa final'!$H$19="Muy Baja",'Mapa final'!$L$19="Menor"),CONCATENATE("R",'Mapa final'!$A$19),"")</f>
        <v/>
      </c>
      <c r="Q42" s="373"/>
      <c r="R42" s="373" t="str">
        <f>IF(AND('Mapa final'!$H$25="Muy Baja",'Mapa final'!$L$25="Menor"),CONCATENATE("R",'Mapa final'!$A$25),"")</f>
        <v/>
      </c>
      <c r="S42" s="373"/>
      <c r="T42" s="373" t="str">
        <f>IF(AND('Mapa final'!$H$31="Muy Baja",'Mapa final'!$L$31="Menor"),CONCATENATE("R",'Mapa final'!$A$31),"")</f>
        <v/>
      </c>
      <c r="U42" s="374"/>
      <c r="V42" s="364" t="str">
        <f>IF(AND('Mapa final'!$H$19="Muy Baja",'Mapa final'!$L$19="Moderado"),CONCATENATE("R",'Mapa final'!$A$19),"")</f>
        <v/>
      </c>
      <c r="W42" s="365"/>
      <c r="X42" s="365" t="str">
        <f>IF(AND('Mapa final'!$H$25="Muy Baja",'Mapa final'!$L$25="Moderado"),CONCATENATE("R",'Mapa final'!$A$25),"")</f>
        <v/>
      </c>
      <c r="Y42" s="365"/>
      <c r="Z42" s="365" t="str">
        <f>IF(AND('Mapa final'!$H$31="Muy Baja",'Mapa final'!$L$31="Moderado"),CONCATENATE("R",'Mapa final'!$A$31),"")</f>
        <v/>
      </c>
      <c r="AA42" s="366"/>
      <c r="AB42" s="347" t="str">
        <f>IF(AND('Mapa final'!$H$19="Muy Baja",'Mapa final'!$L$19="Mayor"),CONCATENATE("R",'Mapa final'!$A$19),"")</f>
        <v/>
      </c>
      <c r="AC42" s="344"/>
      <c r="AD42" s="342" t="str">
        <f>IF(AND('Mapa final'!$H$25="Muy Baja",'Mapa final'!$L$25="Mayor"),CONCATENATE("R",'Mapa final'!$A$25),"")</f>
        <v/>
      </c>
      <c r="AE42" s="342"/>
      <c r="AF42" s="342" t="str">
        <f>IF(AND('Mapa final'!$H$31="Muy Baja",'Mapa final'!$L$31="Mayor"),CONCATENATE("R",'Mapa final'!$A$31),"")</f>
        <v/>
      </c>
      <c r="AG42" s="343"/>
      <c r="AH42" s="355" t="str">
        <f>IF(AND('Mapa final'!$H$19="Muy Baja",'Mapa final'!$L$19="Catastrófico"),CONCATENATE("R",'Mapa final'!$A$19),"")</f>
        <v/>
      </c>
      <c r="AI42" s="356"/>
      <c r="AJ42" s="356" t="str">
        <f>IF(AND('Mapa final'!$H$25="Muy Baja",'Mapa final'!$L$25="Catastrófico"),CONCATENATE("R",'Mapa final'!$A$25),"")</f>
        <v/>
      </c>
      <c r="AK42" s="356"/>
      <c r="AL42" s="356" t="str">
        <f>IF(AND('Mapa final'!$H$31="Muy Baja",'Mapa final'!$L$31="Catastrófico"),CONCATENATE("R",'Mapa final'!$A$31),"")</f>
        <v/>
      </c>
      <c r="AM42" s="357"/>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x14ac:dyDescent="0.25">
      <c r="A43" s="84"/>
      <c r="B43" s="295"/>
      <c r="C43" s="295"/>
      <c r="D43" s="296"/>
      <c r="E43" s="336"/>
      <c r="F43" s="337"/>
      <c r="G43" s="337"/>
      <c r="H43" s="337"/>
      <c r="I43" s="338"/>
      <c r="J43" s="375"/>
      <c r="K43" s="373"/>
      <c r="L43" s="373"/>
      <c r="M43" s="373"/>
      <c r="N43" s="373"/>
      <c r="O43" s="374"/>
      <c r="P43" s="375"/>
      <c r="Q43" s="373"/>
      <c r="R43" s="373"/>
      <c r="S43" s="373"/>
      <c r="T43" s="373"/>
      <c r="U43" s="374"/>
      <c r="V43" s="364"/>
      <c r="W43" s="365"/>
      <c r="X43" s="365"/>
      <c r="Y43" s="365"/>
      <c r="Z43" s="365"/>
      <c r="AA43" s="366"/>
      <c r="AB43" s="347"/>
      <c r="AC43" s="344"/>
      <c r="AD43" s="342"/>
      <c r="AE43" s="342"/>
      <c r="AF43" s="342"/>
      <c r="AG43" s="343"/>
      <c r="AH43" s="355"/>
      <c r="AI43" s="356"/>
      <c r="AJ43" s="356"/>
      <c r="AK43" s="356"/>
      <c r="AL43" s="356"/>
      <c r="AM43" s="357"/>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x14ac:dyDescent="0.25">
      <c r="A44" s="84"/>
      <c r="B44" s="295"/>
      <c r="C44" s="295"/>
      <c r="D44" s="296"/>
      <c r="E44" s="336"/>
      <c r="F44" s="337"/>
      <c r="G44" s="337"/>
      <c r="H44" s="337"/>
      <c r="I44" s="338"/>
      <c r="J44" s="375" t="str">
        <f>IF(AND('Mapa final'!$H$37="Muy Baja",'Mapa final'!$L$37="Leve"),CONCATENATE("R",'Mapa final'!$A$37),"")</f>
        <v/>
      </c>
      <c r="K44" s="373"/>
      <c r="L44" s="373" t="str">
        <f>IF(AND('Mapa final'!$H$43="Muy Baja",'Mapa final'!$L$43="Leve"),CONCATENATE("R",'Mapa final'!$A$43),"")</f>
        <v/>
      </c>
      <c r="M44" s="373"/>
      <c r="N44" s="373" t="str">
        <f>IF(AND('Mapa final'!$H$49="Muy Baja",'Mapa final'!$L$49="Leve"),CONCATENATE("R",'Mapa final'!$A$49),"")</f>
        <v/>
      </c>
      <c r="O44" s="374"/>
      <c r="P44" s="375" t="str">
        <f>IF(AND('Mapa final'!$H$37="Muy Baja",'Mapa final'!$L$37="Menor"),CONCATENATE("R",'Mapa final'!$A$37),"")</f>
        <v/>
      </c>
      <c r="Q44" s="373"/>
      <c r="R44" s="373" t="str">
        <f>IF(AND('Mapa final'!$H$43="Muy Baja",'Mapa final'!$L$43="Menor"),CONCATENATE("R",'Mapa final'!$A$43),"")</f>
        <v/>
      </c>
      <c r="S44" s="373"/>
      <c r="T44" s="373" t="str">
        <f>IF(AND('Mapa final'!$H$49="Muy Baja",'Mapa final'!$L$49="Menor"),CONCATENATE("R",'Mapa final'!$A$49),"")</f>
        <v/>
      </c>
      <c r="U44" s="374"/>
      <c r="V44" s="364" t="str">
        <f>IF(AND('Mapa final'!$H$37="Muy Baja",'Mapa final'!$L$37="Moderado"),CONCATENATE("R",'Mapa final'!$A$37),"")</f>
        <v/>
      </c>
      <c r="W44" s="365"/>
      <c r="X44" s="365" t="str">
        <f>IF(AND('Mapa final'!$H$43="Muy Baja",'Mapa final'!$L$43="Moderado"),CONCATENATE("R",'Mapa final'!$A$43),"")</f>
        <v/>
      </c>
      <c r="Y44" s="365"/>
      <c r="Z44" s="365" t="str">
        <f>IF(AND('Mapa final'!$H$49="Muy Baja",'Mapa final'!$L$49="Moderado"),CONCATENATE("R",'Mapa final'!$A$49),"")</f>
        <v/>
      </c>
      <c r="AA44" s="366"/>
      <c r="AB44" s="347" t="str">
        <f>IF(AND('Mapa final'!$H$37="Muy Baja",'Mapa final'!$L$37="Mayor"),CONCATENATE("R",'Mapa final'!$A$37),"")</f>
        <v/>
      </c>
      <c r="AC44" s="344"/>
      <c r="AD44" s="342" t="str">
        <f>IF(AND('Mapa final'!$H$43="Muy Baja",'Mapa final'!$L$43="Mayor"),CONCATENATE("R",'Mapa final'!$A$43),"")</f>
        <v/>
      </c>
      <c r="AE44" s="342"/>
      <c r="AF44" s="342" t="str">
        <f>IF(AND('Mapa final'!$H$49="Muy Baja",'Mapa final'!$L$49="Mayor"),CONCATENATE("R",'Mapa final'!$A$49),"")</f>
        <v/>
      </c>
      <c r="AG44" s="343"/>
      <c r="AH44" s="355" t="str">
        <f>IF(AND('Mapa final'!$H$37="Muy Baja",'Mapa final'!$L$37="Catastrófico"),CONCATENATE("R",'Mapa final'!$A$37),"")</f>
        <v/>
      </c>
      <c r="AI44" s="356"/>
      <c r="AJ44" s="356" t="str">
        <f>IF(AND('Mapa final'!$H$43="Muy Baja",'Mapa final'!$L$43="Catastrófico"),CONCATENATE("R",'Mapa final'!$A$43),"")</f>
        <v/>
      </c>
      <c r="AK44" s="356"/>
      <c r="AL44" s="356" t="str">
        <f>IF(AND('Mapa final'!$H$49="Muy Baja",'Mapa final'!$L$49="Catastrófico"),CONCATENATE("R",'Mapa final'!$A$49),"")</f>
        <v/>
      </c>
      <c r="AM44" s="357"/>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75" thickBot="1" x14ac:dyDescent="0.3">
      <c r="A45" s="84"/>
      <c r="B45" s="295"/>
      <c r="C45" s="295"/>
      <c r="D45" s="296"/>
      <c r="E45" s="339"/>
      <c r="F45" s="340"/>
      <c r="G45" s="340"/>
      <c r="H45" s="340"/>
      <c r="I45" s="341"/>
      <c r="J45" s="376"/>
      <c r="K45" s="377"/>
      <c r="L45" s="377"/>
      <c r="M45" s="377"/>
      <c r="N45" s="377"/>
      <c r="O45" s="378"/>
      <c r="P45" s="376"/>
      <c r="Q45" s="377"/>
      <c r="R45" s="377"/>
      <c r="S45" s="377"/>
      <c r="T45" s="377"/>
      <c r="U45" s="378"/>
      <c r="V45" s="367"/>
      <c r="W45" s="368"/>
      <c r="X45" s="368"/>
      <c r="Y45" s="368"/>
      <c r="Z45" s="368"/>
      <c r="AA45" s="369"/>
      <c r="AB45" s="352"/>
      <c r="AC45" s="353"/>
      <c r="AD45" s="353"/>
      <c r="AE45" s="353"/>
      <c r="AF45" s="353"/>
      <c r="AG45" s="354"/>
      <c r="AH45" s="358"/>
      <c r="AI45" s="359"/>
      <c r="AJ45" s="359"/>
      <c r="AK45" s="359"/>
      <c r="AL45" s="359"/>
      <c r="AM45" s="360"/>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x14ac:dyDescent="0.25">
      <c r="A46" s="84"/>
      <c r="B46" s="84"/>
      <c r="C46" s="84"/>
      <c r="D46" s="84"/>
      <c r="E46" s="84"/>
      <c r="F46" s="84"/>
      <c r="G46" s="84"/>
      <c r="H46" s="84"/>
      <c r="I46" s="84"/>
      <c r="J46" s="333" t="s">
        <v>112</v>
      </c>
      <c r="K46" s="334"/>
      <c r="L46" s="334"/>
      <c r="M46" s="334"/>
      <c r="N46" s="334"/>
      <c r="O46" s="335"/>
      <c r="P46" s="333" t="s">
        <v>111</v>
      </c>
      <c r="Q46" s="334"/>
      <c r="R46" s="334"/>
      <c r="S46" s="334"/>
      <c r="T46" s="334"/>
      <c r="U46" s="335"/>
      <c r="V46" s="333" t="s">
        <v>110</v>
      </c>
      <c r="W46" s="334"/>
      <c r="X46" s="334"/>
      <c r="Y46" s="334"/>
      <c r="Z46" s="334"/>
      <c r="AA46" s="335"/>
      <c r="AB46" s="333" t="s">
        <v>109</v>
      </c>
      <c r="AC46" s="351"/>
      <c r="AD46" s="334"/>
      <c r="AE46" s="334"/>
      <c r="AF46" s="334"/>
      <c r="AG46" s="335"/>
      <c r="AH46" s="333" t="s">
        <v>108</v>
      </c>
      <c r="AI46" s="334"/>
      <c r="AJ46" s="334"/>
      <c r="AK46" s="334"/>
      <c r="AL46" s="334"/>
      <c r="AM46" s="335"/>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x14ac:dyDescent="0.25">
      <c r="A47" s="84"/>
      <c r="B47" s="84"/>
      <c r="C47" s="84"/>
      <c r="D47" s="84"/>
      <c r="E47" s="84"/>
      <c r="F47" s="84"/>
      <c r="G47" s="84"/>
      <c r="H47" s="84"/>
      <c r="I47" s="84"/>
      <c r="J47" s="336"/>
      <c r="K47" s="337"/>
      <c r="L47" s="337"/>
      <c r="M47" s="337"/>
      <c r="N47" s="337"/>
      <c r="O47" s="338"/>
      <c r="P47" s="336"/>
      <c r="Q47" s="337"/>
      <c r="R47" s="337"/>
      <c r="S47" s="337"/>
      <c r="T47" s="337"/>
      <c r="U47" s="338"/>
      <c r="V47" s="336"/>
      <c r="W47" s="337"/>
      <c r="X47" s="337"/>
      <c r="Y47" s="337"/>
      <c r="Z47" s="337"/>
      <c r="AA47" s="338"/>
      <c r="AB47" s="336"/>
      <c r="AC47" s="337"/>
      <c r="AD47" s="337"/>
      <c r="AE47" s="337"/>
      <c r="AF47" s="337"/>
      <c r="AG47" s="338"/>
      <c r="AH47" s="336"/>
      <c r="AI47" s="337"/>
      <c r="AJ47" s="337"/>
      <c r="AK47" s="337"/>
      <c r="AL47" s="337"/>
      <c r="AM47" s="338"/>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x14ac:dyDescent="0.25">
      <c r="A48" s="84"/>
      <c r="B48" s="84"/>
      <c r="C48" s="84"/>
      <c r="D48" s="84"/>
      <c r="E48" s="84"/>
      <c r="F48" s="84"/>
      <c r="G48" s="84"/>
      <c r="H48" s="84"/>
      <c r="I48" s="84"/>
      <c r="J48" s="336"/>
      <c r="K48" s="337"/>
      <c r="L48" s="337"/>
      <c r="M48" s="337"/>
      <c r="N48" s="337"/>
      <c r="O48" s="338"/>
      <c r="P48" s="336"/>
      <c r="Q48" s="337"/>
      <c r="R48" s="337"/>
      <c r="S48" s="337"/>
      <c r="T48" s="337"/>
      <c r="U48" s="338"/>
      <c r="V48" s="336"/>
      <c r="W48" s="337"/>
      <c r="X48" s="337"/>
      <c r="Y48" s="337"/>
      <c r="Z48" s="337"/>
      <c r="AA48" s="338"/>
      <c r="AB48" s="336"/>
      <c r="AC48" s="337"/>
      <c r="AD48" s="337"/>
      <c r="AE48" s="337"/>
      <c r="AF48" s="337"/>
      <c r="AG48" s="338"/>
      <c r="AH48" s="336"/>
      <c r="AI48" s="337"/>
      <c r="AJ48" s="337"/>
      <c r="AK48" s="337"/>
      <c r="AL48" s="337"/>
      <c r="AM48" s="338"/>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x14ac:dyDescent="0.25">
      <c r="A49" s="84"/>
      <c r="B49" s="84"/>
      <c r="C49" s="84"/>
      <c r="D49" s="84"/>
      <c r="E49" s="84"/>
      <c r="F49" s="84"/>
      <c r="G49" s="84"/>
      <c r="H49" s="84"/>
      <c r="I49" s="84"/>
      <c r="J49" s="336"/>
      <c r="K49" s="337"/>
      <c r="L49" s="337"/>
      <c r="M49" s="337"/>
      <c r="N49" s="337"/>
      <c r="O49" s="338"/>
      <c r="P49" s="336"/>
      <c r="Q49" s="337"/>
      <c r="R49" s="337"/>
      <c r="S49" s="337"/>
      <c r="T49" s="337"/>
      <c r="U49" s="338"/>
      <c r="V49" s="336"/>
      <c r="W49" s="337"/>
      <c r="X49" s="337"/>
      <c r="Y49" s="337"/>
      <c r="Z49" s="337"/>
      <c r="AA49" s="338"/>
      <c r="AB49" s="336"/>
      <c r="AC49" s="337"/>
      <c r="AD49" s="337"/>
      <c r="AE49" s="337"/>
      <c r="AF49" s="337"/>
      <c r="AG49" s="338"/>
      <c r="AH49" s="336"/>
      <c r="AI49" s="337"/>
      <c r="AJ49" s="337"/>
      <c r="AK49" s="337"/>
      <c r="AL49" s="337"/>
      <c r="AM49" s="338"/>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x14ac:dyDescent="0.25">
      <c r="A50" s="84"/>
      <c r="B50" s="84"/>
      <c r="C50" s="84"/>
      <c r="D50" s="84"/>
      <c r="E50" s="84"/>
      <c r="F50" s="84"/>
      <c r="G50" s="84"/>
      <c r="H50" s="84"/>
      <c r="I50" s="84"/>
      <c r="J50" s="336"/>
      <c r="K50" s="337"/>
      <c r="L50" s="337"/>
      <c r="M50" s="337"/>
      <c r="N50" s="337"/>
      <c r="O50" s="338"/>
      <c r="P50" s="336"/>
      <c r="Q50" s="337"/>
      <c r="R50" s="337"/>
      <c r="S50" s="337"/>
      <c r="T50" s="337"/>
      <c r="U50" s="338"/>
      <c r="V50" s="336"/>
      <c r="W50" s="337"/>
      <c r="X50" s="337"/>
      <c r="Y50" s="337"/>
      <c r="Z50" s="337"/>
      <c r="AA50" s="338"/>
      <c r="AB50" s="336"/>
      <c r="AC50" s="337"/>
      <c r="AD50" s="337"/>
      <c r="AE50" s="337"/>
      <c r="AF50" s="337"/>
      <c r="AG50" s="338"/>
      <c r="AH50" s="336"/>
      <c r="AI50" s="337"/>
      <c r="AJ50" s="337"/>
      <c r="AK50" s="337"/>
      <c r="AL50" s="337"/>
      <c r="AM50" s="338"/>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75" thickBot="1" x14ac:dyDescent="0.3">
      <c r="A51" s="84"/>
      <c r="B51" s="84"/>
      <c r="C51" s="84"/>
      <c r="D51" s="84"/>
      <c r="E51" s="84"/>
      <c r="F51" s="84"/>
      <c r="G51" s="84"/>
      <c r="H51" s="84"/>
      <c r="I51" s="84"/>
      <c r="J51" s="339"/>
      <c r="K51" s="340"/>
      <c r="L51" s="340"/>
      <c r="M51" s="340"/>
      <c r="N51" s="340"/>
      <c r="O51" s="341"/>
      <c r="P51" s="339"/>
      <c r="Q51" s="340"/>
      <c r="R51" s="340"/>
      <c r="S51" s="340"/>
      <c r="T51" s="340"/>
      <c r="U51" s="341"/>
      <c r="V51" s="339"/>
      <c r="W51" s="340"/>
      <c r="X51" s="340"/>
      <c r="Y51" s="340"/>
      <c r="Z51" s="340"/>
      <c r="AA51" s="341"/>
      <c r="AB51" s="339"/>
      <c r="AC51" s="340"/>
      <c r="AD51" s="340"/>
      <c r="AE51" s="340"/>
      <c r="AF51" s="340"/>
      <c r="AG51" s="341"/>
      <c r="AH51" s="339"/>
      <c r="AI51" s="340"/>
      <c r="AJ51" s="340"/>
      <c r="AK51" s="340"/>
      <c r="AL51" s="340"/>
      <c r="AM51" s="341"/>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x14ac:dyDescent="0.25">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x14ac:dyDescent="0.25">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x14ac:dyDescent="0.2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x14ac:dyDescent="0.2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x14ac:dyDescent="0.25">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x14ac:dyDescent="0.25">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x14ac:dyDescent="0.25">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x14ac:dyDescent="0.25">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x14ac:dyDescent="0.25">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x14ac:dyDescent="0.25">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x14ac:dyDescent="0.25">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x14ac:dyDescent="0.25">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x14ac:dyDescent="0.25">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x14ac:dyDescent="0.25">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x14ac:dyDescent="0.25">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x14ac:dyDescent="0.25">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x14ac:dyDescent="0.25">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x14ac:dyDescent="0.25">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x14ac:dyDescent="0.25">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x14ac:dyDescent="0.25">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x14ac:dyDescent="0.25">
      <c r="B137" s="84"/>
      <c r="C137" s="84"/>
      <c r="D137" s="84"/>
      <c r="E137" s="84"/>
      <c r="F137" s="84"/>
      <c r="G137" s="84"/>
      <c r="H137" s="84"/>
      <c r="I137" s="84"/>
    </row>
    <row r="138" spans="2:63" x14ac:dyDescent="0.25">
      <c r="B138" s="84"/>
      <c r="C138" s="84"/>
      <c r="D138" s="84"/>
      <c r="E138" s="84"/>
      <c r="F138" s="84"/>
      <c r="G138" s="84"/>
      <c r="H138" s="84"/>
      <c r="I138" s="84"/>
    </row>
    <row r="139" spans="2:63" x14ac:dyDescent="0.25">
      <c r="B139" s="84"/>
      <c r="C139" s="84"/>
      <c r="D139" s="84"/>
      <c r="E139" s="84"/>
      <c r="F139" s="84"/>
      <c r="G139" s="84"/>
      <c r="H139" s="84"/>
      <c r="I139" s="84"/>
    </row>
    <row r="140" spans="2:63" x14ac:dyDescent="0.25">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opLeftCell="C1" zoomScale="53" zoomScaleNormal="53" workbookViewId="0">
      <selection activeCell="AC19" sqref="AC19"/>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x14ac:dyDescent="0.25">
      <c r="A2" s="84"/>
      <c r="B2" s="409" t="s">
        <v>160</v>
      </c>
      <c r="C2" s="410"/>
      <c r="D2" s="410"/>
      <c r="E2" s="410"/>
      <c r="F2" s="410"/>
      <c r="G2" s="410"/>
      <c r="H2" s="410"/>
      <c r="I2" s="410"/>
      <c r="J2" s="349" t="s">
        <v>2</v>
      </c>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c r="AL2" s="349"/>
      <c r="AM2" s="349"/>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x14ac:dyDescent="0.25">
      <c r="A3" s="84"/>
      <c r="B3" s="410"/>
      <c r="C3" s="410"/>
      <c r="D3" s="410"/>
      <c r="E3" s="410"/>
      <c r="F3" s="410"/>
      <c r="G3" s="410"/>
      <c r="H3" s="410"/>
      <c r="I3" s="410"/>
      <c r="J3" s="349"/>
      <c r="K3" s="349"/>
      <c r="L3" s="349"/>
      <c r="M3" s="349"/>
      <c r="N3" s="349"/>
      <c r="O3" s="349"/>
      <c r="P3" s="349"/>
      <c r="Q3" s="349"/>
      <c r="R3" s="349"/>
      <c r="S3" s="349"/>
      <c r="T3" s="349"/>
      <c r="U3" s="349"/>
      <c r="V3" s="349"/>
      <c r="W3" s="349"/>
      <c r="X3" s="349"/>
      <c r="Y3" s="349"/>
      <c r="Z3" s="349"/>
      <c r="AA3" s="349"/>
      <c r="AB3" s="349"/>
      <c r="AC3" s="349"/>
      <c r="AD3" s="349"/>
      <c r="AE3" s="349"/>
      <c r="AF3" s="349"/>
      <c r="AG3" s="349"/>
      <c r="AH3" s="349"/>
      <c r="AI3" s="349"/>
      <c r="AJ3" s="349"/>
      <c r="AK3" s="349"/>
      <c r="AL3" s="349"/>
      <c r="AM3" s="349"/>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x14ac:dyDescent="0.25">
      <c r="A4" s="84"/>
      <c r="B4" s="410"/>
      <c r="C4" s="410"/>
      <c r="D4" s="410"/>
      <c r="E4" s="410"/>
      <c r="F4" s="410"/>
      <c r="G4" s="410"/>
      <c r="H4" s="410"/>
      <c r="I4" s="410"/>
      <c r="J4" s="349"/>
      <c r="K4" s="349"/>
      <c r="L4" s="349"/>
      <c r="M4" s="349"/>
      <c r="N4" s="349"/>
      <c r="O4" s="349"/>
      <c r="P4" s="349"/>
      <c r="Q4" s="349"/>
      <c r="R4" s="349"/>
      <c r="S4" s="349"/>
      <c r="T4" s="349"/>
      <c r="U4" s="349"/>
      <c r="V4" s="349"/>
      <c r="W4" s="349"/>
      <c r="X4" s="349"/>
      <c r="Y4" s="349"/>
      <c r="Z4" s="349"/>
      <c r="AA4" s="349"/>
      <c r="AB4" s="349"/>
      <c r="AC4" s="349"/>
      <c r="AD4" s="349"/>
      <c r="AE4" s="349"/>
      <c r="AF4" s="349"/>
      <c r="AG4" s="349"/>
      <c r="AH4" s="349"/>
      <c r="AI4" s="349"/>
      <c r="AJ4" s="349"/>
      <c r="AK4" s="349"/>
      <c r="AL4" s="349"/>
      <c r="AM4" s="349"/>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x14ac:dyDescent="0.25">
      <c r="A6" s="84"/>
      <c r="B6" s="295" t="s">
        <v>4</v>
      </c>
      <c r="C6" s="295"/>
      <c r="D6" s="296"/>
      <c r="E6" s="392" t="s">
        <v>116</v>
      </c>
      <c r="F6" s="393"/>
      <c r="G6" s="393"/>
      <c r="H6" s="393"/>
      <c r="I6" s="411"/>
      <c r="J6" s="46" t="str">
        <f>IF(AND('Mapa final'!$Y$10="Muy Alta",'Mapa final'!$AA$10="Leve"),CONCATENATE("R1C",'Mapa final'!$O$10),"")</f>
        <v/>
      </c>
      <c r="K6" s="47" t="e">
        <f>IF(AND('Mapa final'!#REF!="Muy Alta",'Mapa final'!#REF!="Leve"),CONCATENATE("R1C",'Mapa final'!#REF!),"")</f>
        <v>#REF!</v>
      </c>
      <c r="L6" s="47" t="e">
        <f>IF(AND('Mapa final'!#REF!="Muy Alta",'Mapa final'!#REF!="Leve"),CONCATENATE("R1C",'Mapa final'!#REF!),"")</f>
        <v>#REF!</v>
      </c>
      <c r="M6" s="47" t="e">
        <f>IF(AND('Mapa final'!#REF!="Muy Alta",'Mapa final'!#REF!="Leve"),CONCATENATE("R1C",'Mapa final'!#REF!),"")</f>
        <v>#REF!</v>
      </c>
      <c r="N6" s="47" t="e">
        <f>IF(AND('Mapa final'!#REF!="Muy Alta",'Mapa final'!#REF!="Leve"),CONCATENATE("R1C",'Mapa final'!#REF!),"")</f>
        <v>#REF!</v>
      </c>
      <c r="O6" s="48" t="e">
        <f>IF(AND('Mapa final'!#REF!="Muy Alta",'Mapa final'!#REF!="Leve"),CONCATENATE("R1C",'Mapa final'!#REF!),"")</f>
        <v>#REF!</v>
      </c>
      <c r="P6" s="46" t="str">
        <f>IF(AND('Mapa final'!$Y$10="Muy Alta",'Mapa final'!$AA$10="Menor"),CONCATENATE("R1C",'Mapa final'!$O$10),"")</f>
        <v/>
      </c>
      <c r="Q6" s="47" t="e">
        <f>IF(AND('Mapa final'!#REF!="Muy Alta",'Mapa final'!#REF!="Menor"),CONCATENATE("R1C",'Mapa final'!#REF!),"")</f>
        <v>#REF!</v>
      </c>
      <c r="R6" s="47" t="e">
        <f>IF(AND('Mapa final'!#REF!="Muy Alta",'Mapa final'!#REF!="Menor"),CONCATENATE("R1C",'Mapa final'!#REF!),"")</f>
        <v>#REF!</v>
      </c>
      <c r="S6" s="47" t="e">
        <f>IF(AND('Mapa final'!#REF!="Muy Alta",'Mapa final'!#REF!="Menor"),CONCATENATE("R1C",'Mapa final'!#REF!),"")</f>
        <v>#REF!</v>
      </c>
      <c r="T6" s="47" t="e">
        <f>IF(AND('Mapa final'!#REF!="Muy Alta",'Mapa final'!#REF!="Menor"),CONCATENATE("R1C",'Mapa final'!#REF!),"")</f>
        <v>#REF!</v>
      </c>
      <c r="U6" s="48" t="e">
        <f>IF(AND('Mapa final'!#REF!="Muy Alta",'Mapa final'!#REF!="Menor"),CONCATENATE("R1C",'Mapa final'!#REF!),"")</f>
        <v>#REF!</v>
      </c>
      <c r="V6" s="46" t="str">
        <f>IF(AND('Mapa final'!$Y$10="Muy Alta",'Mapa final'!$AA$10="Moderado"),CONCATENATE("R1C",'Mapa final'!$O$10),"")</f>
        <v/>
      </c>
      <c r="W6" s="47" t="e">
        <f>IF(AND('Mapa final'!#REF!="Muy Alta",'Mapa final'!#REF!="Moderado"),CONCATENATE("R1C",'Mapa final'!#REF!),"")</f>
        <v>#REF!</v>
      </c>
      <c r="X6" s="47" t="e">
        <f>IF(AND('Mapa final'!#REF!="Muy Alta",'Mapa final'!#REF!="Moderado"),CONCATENATE("R1C",'Mapa final'!#REF!),"")</f>
        <v>#REF!</v>
      </c>
      <c r="Y6" s="47" t="e">
        <f>IF(AND('Mapa final'!#REF!="Muy Alta",'Mapa final'!#REF!="Moderado"),CONCATENATE("R1C",'Mapa final'!#REF!),"")</f>
        <v>#REF!</v>
      </c>
      <c r="Z6" s="47" t="e">
        <f>IF(AND('Mapa final'!#REF!="Muy Alta",'Mapa final'!#REF!="Moderado"),CONCATENATE("R1C",'Mapa final'!#REF!),"")</f>
        <v>#REF!</v>
      </c>
      <c r="AA6" s="48" t="e">
        <f>IF(AND('Mapa final'!#REF!="Muy Alta",'Mapa final'!#REF!="Moderado"),CONCATENATE("R1C",'Mapa final'!#REF!),"")</f>
        <v>#REF!</v>
      </c>
      <c r="AB6" s="46" t="str">
        <f>IF(AND('Mapa final'!$Y$10="Muy Alta",'Mapa final'!$AA$10="Mayor"),CONCATENATE("R1C",'Mapa final'!$O$10),"")</f>
        <v/>
      </c>
      <c r="AC6" s="47" t="e">
        <f>IF(AND('Mapa final'!#REF!="Muy Alta",'Mapa final'!#REF!="Mayor"),CONCATENATE("R1C",'Mapa final'!#REF!),"")</f>
        <v>#REF!</v>
      </c>
      <c r="AD6" s="47" t="e">
        <f>IF(AND('Mapa final'!#REF!="Muy Alta",'Mapa final'!#REF!="Mayor"),CONCATENATE("R1C",'Mapa final'!#REF!),"")</f>
        <v>#REF!</v>
      </c>
      <c r="AE6" s="47" t="e">
        <f>IF(AND('Mapa final'!#REF!="Muy Alta",'Mapa final'!#REF!="Mayor"),CONCATENATE("R1C",'Mapa final'!#REF!),"")</f>
        <v>#REF!</v>
      </c>
      <c r="AF6" s="47" t="e">
        <f>IF(AND('Mapa final'!#REF!="Muy Alta",'Mapa final'!#REF!="Mayor"),CONCATENATE("R1C",'Mapa final'!#REF!),"")</f>
        <v>#REF!</v>
      </c>
      <c r="AG6" s="48" t="e">
        <f>IF(AND('Mapa final'!#REF!="Muy Alta",'Mapa final'!#REF!="Mayor"),CONCATENATE("R1C",'Mapa final'!#REF!),"")</f>
        <v>#REF!</v>
      </c>
      <c r="AH6" s="49" t="str">
        <f>IF(AND('Mapa final'!$Y$10="Muy Alta",'Mapa final'!$AA$10="Catastrófico"),CONCATENATE("R1C",'Mapa final'!$O$10),"")</f>
        <v/>
      </c>
      <c r="AI6" s="50" t="e">
        <f>IF(AND('Mapa final'!#REF!="Muy Alta",'Mapa final'!#REF!="Catastrófico"),CONCATENATE("R1C",'Mapa final'!#REF!),"")</f>
        <v>#REF!</v>
      </c>
      <c r="AJ6" s="50" t="e">
        <f>IF(AND('Mapa final'!#REF!="Muy Alta",'Mapa final'!#REF!="Catastrófico"),CONCATENATE("R1C",'Mapa final'!#REF!),"")</f>
        <v>#REF!</v>
      </c>
      <c r="AK6" s="50" t="e">
        <f>IF(AND('Mapa final'!#REF!="Muy Alta",'Mapa final'!#REF!="Catastrófico"),CONCATENATE("R1C",'Mapa final'!#REF!),"")</f>
        <v>#REF!</v>
      </c>
      <c r="AL6" s="50" t="e">
        <f>IF(AND('Mapa final'!#REF!="Muy Alta",'Mapa final'!#REF!="Catastrófico"),CONCATENATE("R1C",'Mapa final'!#REF!),"")</f>
        <v>#REF!</v>
      </c>
      <c r="AM6" s="51" t="e">
        <f>IF(AND('Mapa final'!#REF!="Muy Alta",'Mapa final'!#REF!="Catastrófico"),CONCATENATE("R1C",'Mapa final'!#REF!),"")</f>
        <v>#REF!</v>
      </c>
      <c r="AN6" s="84"/>
      <c r="AO6" s="400" t="s">
        <v>79</v>
      </c>
      <c r="AP6" s="401"/>
      <c r="AQ6" s="401"/>
      <c r="AR6" s="401"/>
      <c r="AS6" s="401"/>
      <c r="AT6" s="402"/>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x14ac:dyDescent="0.25">
      <c r="A7" s="84"/>
      <c r="B7" s="295"/>
      <c r="C7" s="295"/>
      <c r="D7" s="296"/>
      <c r="E7" s="396"/>
      <c r="F7" s="397"/>
      <c r="G7" s="397"/>
      <c r="H7" s="397"/>
      <c r="I7" s="412"/>
      <c r="J7" s="52" t="e">
        <f>IF(AND('Mapa final'!#REF!="Muy Alta",'Mapa final'!#REF!="Leve"),CONCATENATE("R2C",'Mapa final'!#REF!),"")</f>
        <v>#REF!</v>
      </c>
      <c r="K7" s="53" t="e">
        <f>IF(AND('Mapa final'!#REF!="Muy Alta",'Mapa final'!#REF!="Leve"),CONCATENATE("R2C",'Mapa final'!#REF!),"")</f>
        <v>#REF!</v>
      </c>
      <c r="L7" s="53" t="e">
        <f>IF(AND('Mapa final'!#REF!="Muy Alta",'Mapa final'!#REF!="Leve"),CONCATENATE("R2C",'Mapa final'!#REF!),"")</f>
        <v>#REF!</v>
      </c>
      <c r="M7" s="53" t="e">
        <f>IF(AND('Mapa final'!#REF!="Muy Alta",'Mapa final'!#REF!="Leve"),CONCATENATE("R2C",'Mapa final'!#REF!),"")</f>
        <v>#REF!</v>
      </c>
      <c r="N7" s="53" t="e">
        <f>IF(AND('Mapa final'!#REF!="Muy Alta",'Mapa final'!#REF!="Leve"),CONCATENATE("R2C",'Mapa final'!#REF!),"")</f>
        <v>#REF!</v>
      </c>
      <c r="O7" s="54" t="e">
        <f>IF(AND('Mapa final'!#REF!="Muy Alta",'Mapa final'!#REF!="Leve"),CONCATENATE("R2C",'Mapa final'!#REF!),"")</f>
        <v>#REF!</v>
      </c>
      <c r="P7" s="52" t="e">
        <f>IF(AND('Mapa final'!#REF!="Muy Alta",'Mapa final'!#REF!="Menor"),CONCATENATE("R2C",'Mapa final'!#REF!),"")</f>
        <v>#REF!</v>
      </c>
      <c r="Q7" s="53" t="e">
        <f>IF(AND('Mapa final'!#REF!="Muy Alta",'Mapa final'!#REF!="Menor"),CONCATENATE("R2C",'Mapa final'!#REF!),"")</f>
        <v>#REF!</v>
      </c>
      <c r="R7" s="53" t="e">
        <f>IF(AND('Mapa final'!#REF!="Muy Alta",'Mapa final'!#REF!="Menor"),CONCATENATE("R2C",'Mapa final'!#REF!),"")</f>
        <v>#REF!</v>
      </c>
      <c r="S7" s="53" t="e">
        <f>IF(AND('Mapa final'!#REF!="Muy Alta",'Mapa final'!#REF!="Menor"),CONCATENATE("R2C",'Mapa final'!#REF!),"")</f>
        <v>#REF!</v>
      </c>
      <c r="T7" s="53" t="e">
        <f>IF(AND('Mapa final'!#REF!="Muy Alta",'Mapa final'!#REF!="Menor"),CONCATENATE("R2C",'Mapa final'!#REF!),"")</f>
        <v>#REF!</v>
      </c>
      <c r="U7" s="54" t="e">
        <f>IF(AND('Mapa final'!#REF!="Muy Alta",'Mapa final'!#REF!="Menor"),CONCATENATE("R2C",'Mapa final'!#REF!),"")</f>
        <v>#REF!</v>
      </c>
      <c r="V7" s="52" t="e">
        <f>IF(AND('Mapa final'!#REF!="Muy Alta",'Mapa final'!#REF!="Moderado"),CONCATENATE("R2C",'Mapa final'!#REF!),"")</f>
        <v>#REF!</v>
      </c>
      <c r="W7" s="53" t="e">
        <f>IF(AND('Mapa final'!#REF!="Muy Alta",'Mapa final'!#REF!="Moderado"),CONCATENATE("R2C",'Mapa final'!#REF!),"")</f>
        <v>#REF!</v>
      </c>
      <c r="X7" s="53" t="e">
        <f>IF(AND('Mapa final'!#REF!="Muy Alta",'Mapa final'!#REF!="Moderado"),CONCATENATE("R2C",'Mapa final'!#REF!),"")</f>
        <v>#REF!</v>
      </c>
      <c r="Y7" s="53" t="e">
        <f>IF(AND('Mapa final'!#REF!="Muy Alta",'Mapa final'!#REF!="Moderado"),CONCATENATE("R2C",'Mapa final'!#REF!),"")</f>
        <v>#REF!</v>
      </c>
      <c r="Z7" s="53" t="e">
        <f>IF(AND('Mapa final'!#REF!="Muy Alta",'Mapa final'!#REF!="Moderado"),CONCATENATE("R2C",'Mapa final'!#REF!),"")</f>
        <v>#REF!</v>
      </c>
      <c r="AA7" s="54" t="e">
        <f>IF(AND('Mapa final'!#REF!="Muy Alta",'Mapa final'!#REF!="Moderado"),CONCATENATE("R2C",'Mapa final'!#REF!),"")</f>
        <v>#REF!</v>
      </c>
      <c r="AB7" s="52" t="e">
        <f>IF(AND('Mapa final'!#REF!="Muy Alta",'Mapa final'!#REF!="Mayor"),CONCATENATE("R2C",'Mapa final'!#REF!),"")</f>
        <v>#REF!</v>
      </c>
      <c r="AC7" s="53" t="e">
        <f>IF(AND('Mapa final'!#REF!="Muy Alta",'Mapa final'!#REF!="Mayor"),CONCATENATE("R2C",'Mapa final'!#REF!),"")</f>
        <v>#REF!</v>
      </c>
      <c r="AD7" s="53" t="e">
        <f>IF(AND('Mapa final'!#REF!="Muy Alta",'Mapa final'!#REF!="Mayor"),CONCATENATE("R2C",'Mapa final'!#REF!),"")</f>
        <v>#REF!</v>
      </c>
      <c r="AE7" s="53" t="e">
        <f>IF(AND('Mapa final'!#REF!="Muy Alta",'Mapa final'!#REF!="Mayor"),CONCATENATE("R2C",'Mapa final'!#REF!),"")</f>
        <v>#REF!</v>
      </c>
      <c r="AF7" s="53" t="e">
        <f>IF(AND('Mapa final'!#REF!="Muy Alta",'Mapa final'!#REF!="Mayor"),CONCATENATE("R2C",'Mapa final'!#REF!),"")</f>
        <v>#REF!</v>
      </c>
      <c r="AG7" s="54" t="e">
        <f>IF(AND('Mapa final'!#REF!="Muy Alta",'Mapa final'!#REF!="Mayor"),CONCATENATE("R2C",'Mapa final'!#REF!),"")</f>
        <v>#REF!</v>
      </c>
      <c r="AH7" s="55" t="e">
        <f>IF(AND('Mapa final'!#REF!="Muy Alta",'Mapa final'!#REF!="Catastrófico"),CONCATENATE("R2C",'Mapa final'!#REF!),"")</f>
        <v>#REF!</v>
      </c>
      <c r="AI7" s="56" t="e">
        <f>IF(AND('Mapa final'!#REF!="Muy Alta",'Mapa final'!#REF!="Catastrófico"),CONCATENATE("R2C",'Mapa final'!#REF!),"")</f>
        <v>#REF!</v>
      </c>
      <c r="AJ7" s="56" t="e">
        <f>IF(AND('Mapa final'!#REF!="Muy Alta",'Mapa final'!#REF!="Catastrófico"),CONCATENATE("R2C",'Mapa final'!#REF!),"")</f>
        <v>#REF!</v>
      </c>
      <c r="AK7" s="56" t="e">
        <f>IF(AND('Mapa final'!#REF!="Muy Alta",'Mapa final'!#REF!="Catastrófico"),CONCATENATE("R2C",'Mapa final'!#REF!),"")</f>
        <v>#REF!</v>
      </c>
      <c r="AL7" s="56" t="e">
        <f>IF(AND('Mapa final'!#REF!="Muy Alta",'Mapa final'!#REF!="Catastrófico"),CONCATENATE("R2C",'Mapa final'!#REF!),"")</f>
        <v>#REF!</v>
      </c>
      <c r="AM7" s="57" t="e">
        <f>IF(AND('Mapa final'!#REF!="Muy Alta",'Mapa final'!#REF!="Catastrófico"),CONCATENATE("R2C",'Mapa final'!#REF!),"")</f>
        <v>#REF!</v>
      </c>
      <c r="AN7" s="84"/>
      <c r="AO7" s="403"/>
      <c r="AP7" s="404"/>
      <c r="AQ7" s="404"/>
      <c r="AR7" s="404"/>
      <c r="AS7" s="404"/>
      <c r="AT7" s="405"/>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x14ac:dyDescent="0.25">
      <c r="A8" s="84"/>
      <c r="B8" s="295"/>
      <c r="C8" s="295"/>
      <c r="D8" s="296"/>
      <c r="E8" s="396"/>
      <c r="F8" s="397"/>
      <c r="G8" s="397"/>
      <c r="H8" s="397"/>
      <c r="I8" s="412"/>
      <c r="J8" s="52" t="e">
        <f>IF(AND('Mapa final'!#REF!="Muy Alta",'Mapa final'!#REF!="Leve"),CONCATENATE("R3C",'Mapa final'!#REF!),"")</f>
        <v>#REF!</v>
      </c>
      <c r="K8" s="53" t="str">
        <f>IF(AND('Mapa final'!$Y$11="Muy Alta",'Mapa final'!$AA$11="Leve"),CONCATENATE("R3C",'Mapa final'!$O$11),"")</f>
        <v/>
      </c>
      <c r="L8" s="53" t="e">
        <f>IF(AND('Mapa final'!#REF!="Muy Alta",'Mapa final'!#REF!="Leve"),CONCATENATE("R3C",'Mapa final'!#REF!),"")</f>
        <v>#REF!</v>
      </c>
      <c r="M8" s="53" t="e">
        <f>IF(AND('Mapa final'!#REF!="Muy Alta",'Mapa final'!#REF!="Leve"),CONCATENATE("R3C",'Mapa final'!#REF!),"")</f>
        <v>#REF!</v>
      </c>
      <c r="N8" s="53" t="e">
        <f>IF(AND('Mapa final'!#REF!="Muy Alta",'Mapa final'!#REF!="Leve"),CONCATENATE("R3C",'Mapa final'!#REF!),"")</f>
        <v>#REF!</v>
      </c>
      <c r="O8" s="54" t="e">
        <f>IF(AND('Mapa final'!#REF!="Muy Alta",'Mapa final'!#REF!="Leve"),CONCATENATE("R3C",'Mapa final'!#REF!),"")</f>
        <v>#REF!</v>
      </c>
      <c r="P8" s="52" t="e">
        <f>IF(AND('Mapa final'!#REF!="Muy Alta",'Mapa final'!#REF!="Menor"),CONCATENATE("R3C",'Mapa final'!#REF!),"")</f>
        <v>#REF!</v>
      </c>
      <c r="Q8" s="53" t="str">
        <f>IF(AND('Mapa final'!$Y$11="Muy Alta",'Mapa final'!$AA$11="Menor"),CONCATENATE("R3C",'Mapa final'!$O$11),"")</f>
        <v/>
      </c>
      <c r="R8" s="53" t="e">
        <f>IF(AND('Mapa final'!#REF!="Muy Alta",'Mapa final'!#REF!="Menor"),CONCATENATE("R3C",'Mapa final'!#REF!),"")</f>
        <v>#REF!</v>
      </c>
      <c r="S8" s="53" t="e">
        <f>IF(AND('Mapa final'!#REF!="Muy Alta",'Mapa final'!#REF!="Menor"),CONCATENATE("R3C",'Mapa final'!#REF!),"")</f>
        <v>#REF!</v>
      </c>
      <c r="T8" s="53" t="e">
        <f>IF(AND('Mapa final'!#REF!="Muy Alta",'Mapa final'!#REF!="Menor"),CONCATENATE("R3C",'Mapa final'!#REF!),"")</f>
        <v>#REF!</v>
      </c>
      <c r="U8" s="54" t="e">
        <f>IF(AND('Mapa final'!#REF!="Muy Alta",'Mapa final'!#REF!="Menor"),CONCATENATE("R3C",'Mapa final'!#REF!),"")</f>
        <v>#REF!</v>
      </c>
      <c r="V8" s="52" t="e">
        <f>IF(AND('Mapa final'!#REF!="Muy Alta",'Mapa final'!#REF!="Moderado"),CONCATENATE("R3C",'Mapa final'!#REF!),"")</f>
        <v>#REF!</v>
      </c>
      <c r="W8" s="53" t="str">
        <f>IF(AND('Mapa final'!$Y$11="Muy Alta",'Mapa final'!$AA$11="Moderado"),CONCATENATE("R3C",'Mapa final'!$O$11),"")</f>
        <v/>
      </c>
      <c r="X8" s="53" t="e">
        <f>IF(AND('Mapa final'!#REF!="Muy Alta",'Mapa final'!#REF!="Moderado"),CONCATENATE("R3C",'Mapa final'!#REF!),"")</f>
        <v>#REF!</v>
      </c>
      <c r="Y8" s="53" t="e">
        <f>IF(AND('Mapa final'!#REF!="Muy Alta",'Mapa final'!#REF!="Moderado"),CONCATENATE("R3C",'Mapa final'!#REF!),"")</f>
        <v>#REF!</v>
      </c>
      <c r="Z8" s="53" t="e">
        <f>IF(AND('Mapa final'!#REF!="Muy Alta",'Mapa final'!#REF!="Moderado"),CONCATENATE("R3C",'Mapa final'!#REF!),"")</f>
        <v>#REF!</v>
      </c>
      <c r="AA8" s="54" t="e">
        <f>IF(AND('Mapa final'!#REF!="Muy Alta",'Mapa final'!#REF!="Moderado"),CONCATENATE("R3C",'Mapa final'!#REF!),"")</f>
        <v>#REF!</v>
      </c>
      <c r="AB8" s="52" t="e">
        <f>IF(AND('Mapa final'!#REF!="Muy Alta",'Mapa final'!#REF!="Mayor"),CONCATENATE("R3C",'Mapa final'!#REF!),"")</f>
        <v>#REF!</v>
      </c>
      <c r="AC8" s="53" t="str">
        <f>IF(AND('Mapa final'!$Y$11="Muy Alta",'Mapa final'!$AA$11="Mayor"),CONCATENATE("R3C",'Mapa final'!$O$11),"")</f>
        <v/>
      </c>
      <c r="AD8" s="53" t="e">
        <f>IF(AND('Mapa final'!#REF!="Muy Alta",'Mapa final'!#REF!="Mayor"),CONCATENATE("R3C",'Mapa final'!#REF!),"")</f>
        <v>#REF!</v>
      </c>
      <c r="AE8" s="53" t="e">
        <f>IF(AND('Mapa final'!#REF!="Muy Alta",'Mapa final'!#REF!="Mayor"),CONCATENATE("R3C",'Mapa final'!#REF!),"")</f>
        <v>#REF!</v>
      </c>
      <c r="AF8" s="53" t="e">
        <f>IF(AND('Mapa final'!#REF!="Muy Alta",'Mapa final'!#REF!="Mayor"),CONCATENATE("R3C",'Mapa final'!#REF!),"")</f>
        <v>#REF!</v>
      </c>
      <c r="AG8" s="54" t="e">
        <f>IF(AND('Mapa final'!#REF!="Muy Alta",'Mapa final'!#REF!="Mayor"),CONCATENATE("R3C",'Mapa final'!#REF!),"")</f>
        <v>#REF!</v>
      </c>
      <c r="AH8" s="55" t="e">
        <f>IF(AND('Mapa final'!#REF!="Muy Alta",'Mapa final'!#REF!="Catastrófico"),CONCATENATE("R3C",'Mapa final'!#REF!),"")</f>
        <v>#REF!</v>
      </c>
      <c r="AI8" s="56" t="str">
        <f>IF(AND('Mapa final'!$Y$11="Muy Alta",'Mapa final'!$AA$11="Catastrófico"),CONCATENATE("R3C",'Mapa final'!$O$11),"")</f>
        <v/>
      </c>
      <c r="AJ8" s="56" t="e">
        <f>IF(AND('Mapa final'!#REF!="Muy Alta",'Mapa final'!#REF!="Catastrófico"),CONCATENATE("R3C",'Mapa final'!#REF!),"")</f>
        <v>#REF!</v>
      </c>
      <c r="AK8" s="56" t="e">
        <f>IF(AND('Mapa final'!#REF!="Muy Alta",'Mapa final'!#REF!="Catastrófico"),CONCATENATE("R3C",'Mapa final'!#REF!),"")</f>
        <v>#REF!</v>
      </c>
      <c r="AL8" s="56" t="e">
        <f>IF(AND('Mapa final'!#REF!="Muy Alta",'Mapa final'!#REF!="Catastrófico"),CONCATENATE("R3C",'Mapa final'!#REF!),"")</f>
        <v>#REF!</v>
      </c>
      <c r="AM8" s="57" t="e">
        <f>IF(AND('Mapa final'!#REF!="Muy Alta",'Mapa final'!#REF!="Catastrófico"),CONCATENATE("R3C",'Mapa final'!#REF!),"")</f>
        <v>#REF!</v>
      </c>
      <c r="AN8" s="84"/>
      <c r="AO8" s="403"/>
      <c r="AP8" s="404"/>
      <c r="AQ8" s="404"/>
      <c r="AR8" s="404"/>
      <c r="AS8" s="404"/>
      <c r="AT8" s="405"/>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x14ac:dyDescent="0.25">
      <c r="A9" s="84"/>
      <c r="B9" s="295"/>
      <c r="C9" s="295"/>
      <c r="D9" s="296"/>
      <c r="E9" s="396"/>
      <c r="F9" s="397"/>
      <c r="G9" s="397"/>
      <c r="H9" s="397"/>
      <c r="I9" s="412"/>
      <c r="J9" s="52" t="str">
        <f>IF(AND('Mapa final'!$Y$12="Muy Alta",'Mapa final'!$AA$12="Leve"),CONCATENATE("R4C",'Mapa final'!$O$12),"")</f>
        <v/>
      </c>
      <c r="K9" s="53" t="e">
        <f>IF(AND('Mapa final'!#REF!="Muy Alta",'Mapa final'!#REF!="Leve"),CONCATENATE("R4C",'Mapa final'!#REF!),"")</f>
        <v>#REF!</v>
      </c>
      <c r="L9" s="58" t="e">
        <f>IF(AND('Mapa final'!#REF!="Muy Alta",'Mapa final'!#REF!="Leve"),CONCATENATE("R4C",'Mapa final'!#REF!),"")</f>
        <v>#REF!</v>
      </c>
      <c r="M9" s="58" t="e">
        <f>IF(AND('Mapa final'!#REF!="Muy Alta",'Mapa final'!#REF!="Leve"),CONCATENATE("R4C",'Mapa final'!#REF!),"")</f>
        <v>#REF!</v>
      </c>
      <c r="N9" s="58" t="e">
        <f>IF(AND('Mapa final'!#REF!="Muy Alta",'Mapa final'!#REF!="Leve"),CONCATENATE("R4C",'Mapa final'!#REF!),"")</f>
        <v>#REF!</v>
      </c>
      <c r="O9" s="54" t="e">
        <f>IF(AND('Mapa final'!#REF!="Muy Alta",'Mapa final'!#REF!="Leve"),CONCATENATE("R4C",'Mapa final'!#REF!),"")</f>
        <v>#REF!</v>
      </c>
      <c r="P9" s="52" t="str">
        <f>IF(AND('Mapa final'!$Y$12="Muy Alta",'Mapa final'!$AA$12="Menor"),CONCATENATE("R4C",'Mapa final'!$O$12),"")</f>
        <v/>
      </c>
      <c r="Q9" s="53" t="e">
        <f>IF(AND('Mapa final'!#REF!="Muy Alta",'Mapa final'!#REF!="Menor"),CONCATENATE("R4C",'Mapa final'!#REF!),"")</f>
        <v>#REF!</v>
      </c>
      <c r="R9" s="58" t="e">
        <f>IF(AND('Mapa final'!#REF!="Muy Alta",'Mapa final'!#REF!="Menor"),CONCATENATE("R4C",'Mapa final'!#REF!),"")</f>
        <v>#REF!</v>
      </c>
      <c r="S9" s="58" t="e">
        <f>IF(AND('Mapa final'!#REF!="Muy Alta",'Mapa final'!#REF!="Menor"),CONCATENATE("R4C",'Mapa final'!#REF!),"")</f>
        <v>#REF!</v>
      </c>
      <c r="T9" s="58" t="e">
        <f>IF(AND('Mapa final'!#REF!="Muy Alta",'Mapa final'!#REF!="Menor"),CONCATENATE("R4C",'Mapa final'!#REF!),"")</f>
        <v>#REF!</v>
      </c>
      <c r="U9" s="54" t="e">
        <f>IF(AND('Mapa final'!#REF!="Muy Alta",'Mapa final'!#REF!="Menor"),CONCATENATE("R4C",'Mapa final'!#REF!),"")</f>
        <v>#REF!</v>
      </c>
      <c r="V9" s="52" t="str">
        <f>IF(AND('Mapa final'!$Y$12="Muy Alta",'Mapa final'!$AA$12="Moderado"),CONCATENATE("R4C",'Mapa final'!$O$12),"")</f>
        <v/>
      </c>
      <c r="W9" s="53" t="e">
        <f>IF(AND('Mapa final'!#REF!="Muy Alta",'Mapa final'!#REF!="Moderado"),CONCATENATE("R4C",'Mapa final'!#REF!),"")</f>
        <v>#REF!</v>
      </c>
      <c r="X9" s="58" t="e">
        <f>IF(AND('Mapa final'!#REF!="Muy Alta",'Mapa final'!#REF!="Moderado"),CONCATENATE("R4C",'Mapa final'!#REF!),"")</f>
        <v>#REF!</v>
      </c>
      <c r="Y9" s="58" t="e">
        <f>IF(AND('Mapa final'!#REF!="Muy Alta",'Mapa final'!#REF!="Moderado"),CONCATENATE("R4C",'Mapa final'!#REF!),"")</f>
        <v>#REF!</v>
      </c>
      <c r="Z9" s="58" t="e">
        <f>IF(AND('Mapa final'!#REF!="Muy Alta",'Mapa final'!#REF!="Moderado"),CONCATENATE("R4C",'Mapa final'!#REF!),"")</f>
        <v>#REF!</v>
      </c>
      <c r="AA9" s="54" t="e">
        <f>IF(AND('Mapa final'!#REF!="Muy Alta",'Mapa final'!#REF!="Moderado"),CONCATENATE("R4C",'Mapa final'!#REF!),"")</f>
        <v>#REF!</v>
      </c>
      <c r="AB9" s="52" t="str">
        <f>IF(AND('Mapa final'!$Y$12="Muy Alta",'Mapa final'!$AA$12="Mayor"),CONCATENATE("R4C",'Mapa final'!$O$12),"")</f>
        <v/>
      </c>
      <c r="AC9" s="53" t="e">
        <f>IF(AND('Mapa final'!#REF!="Muy Alta",'Mapa final'!#REF!="Mayor"),CONCATENATE("R4C",'Mapa final'!#REF!),"")</f>
        <v>#REF!</v>
      </c>
      <c r="AD9" s="58" t="e">
        <f>IF(AND('Mapa final'!#REF!="Muy Alta",'Mapa final'!#REF!="Mayor"),CONCATENATE("R4C",'Mapa final'!#REF!),"")</f>
        <v>#REF!</v>
      </c>
      <c r="AE9" s="58" t="e">
        <f>IF(AND('Mapa final'!#REF!="Muy Alta",'Mapa final'!#REF!="Mayor"),CONCATENATE("R4C",'Mapa final'!#REF!),"")</f>
        <v>#REF!</v>
      </c>
      <c r="AF9" s="58" t="e">
        <f>IF(AND('Mapa final'!#REF!="Muy Alta",'Mapa final'!#REF!="Mayor"),CONCATENATE("R4C",'Mapa final'!#REF!),"")</f>
        <v>#REF!</v>
      </c>
      <c r="AG9" s="54" t="e">
        <f>IF(AND('Mapa final'!#REF!="Muy Alta",'Mapa final'!#REF!="Mayor"),CONCATENATE("R4C",'Mapa final'!#REF!),"")</f>
        <v>#REF!</v>
      </c>
      <c r="AH9" s="55" t="str">
        <f>IF(AND('Mapa final'!$Y$12="Muy Alta",'Mapa final'!$AA$12="Catastrófico"),CONCATENATE("R4C",'Mapa final'!$O$12),"")</f>
        <v/>
      </c>
      <c r="AI9" s="56" t="e">
        <f>IF(AND('Mapa final'!#REF!="Muy Alta",'Mapa final'!#REF!="Catastrófico"),CONCATENATE("R4C",'Mapa final'!#REF!),"")</f>
        <v>#REF!</v>
      </c>
      <c r="AJ9" s="56" t="e">
        <f>IF(AND('Mapa final'!#REF!="Muy Alta",'Mapa final'!#REF!="Catastrófico"),CONCATENATE("R4C",'Mapa final'!#REF!),"")</f>
        <v>#REF!</v>
      </c>
      <c r="AK9" s="56" t="e">
        <f>IF(AND('Mapa final'!#REF!="Muy Alta",'Mapa final'!#REF!="Catastrófico"),CONCATENATE("R4C",'Mapa final'!#REF!),"")</f>
        <v>#REF!</v>
      </c>
      <c r="AL9" s="56" t="e">
        <f>IF(AND('Mapa final'!#REF!="Muy Alta",'Mapa final'!#REF!="Catastrófico"),CONCATENATE("R4C",'Mapa final'!#REF!),"")</f>
        <v>#REF!</v>
      </c>
      <c r="AM9" s="57" t="e">
        <f>IF(AND('Mapa final'!#REF!="Muy Alta",'Mapa final'!#REF!="Catastrófico"),CONCATENATE("R4C",'Mapa final'!#REF!),"")</f>
        <v>#REF!</v>
      </c>
      <c r="AN9" s="84"/>
      <c r="AO9" s="403"/>
      <c r="AP9" s="404"/>
      <c r="AQ9" s="404"/>
      <c r="AR9" s="404"/>
      <c r="AS9" s="404"/>
      <c r="AT9" s="405"/>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x14ac:dyDescent="0.25">
      <c r="A10" s="84"/>
      <c r="B10" s="295"/>
      <c r="C10" s="295"/>
      <c r="D10" s="296"/>
      <c r="E10" s="396"/>
      <c r="F10" s="397"/>
      <c r="G10" s="397"/>
      <c r="H10" s="397"/>
      <c r="I10" s="412"/>
      <c r="J10" s="52" t="e">
        <f>IF(AND('Mapa final'!#REF!="Muy Alta",'Mapa final'!#REF!="Leve"),CONCATENATE("R5C",'Mapa final'!#REF!),"")</f>
        <v>#REF!</v>
      </c>
      <c r="K10" s="53" t="e">
        <f>IF(AND('Mapa final'!#REF!="Muy Alta",'Mapa final'!#REF!="Leve"),CONCATENATE("R5C",'Mapa final'!#REF!),"")</f>
        <v>#REF!</v>
      </c>
      <c r="L10" s="58" t="e">
        <f>IF(AND('Mapa final'!#REF!="Muy Alta",'Mapa final'!#REF!="Leve"),CONCATENATE("R5C",'Mapa final'!#REF!),"")</f>
        <v>#REF!</v>
      </c>
      <c r="M10" s="58" t="e">
        <f>IF(AND('Mapa final'!#REF!="Muy Alta",'Mapa final'!#REF!="Leve"),CONCATENATE("R5C",'Mapa final'!#REF!),"")</f>
        <v>#REF!</v>
      </c>
      <c r="N10" s="58" t="e">
        <f>IF(AND('Mapa final'!#REF!="Muy Alta",'Mapa final'!#REF!="Leve"),CONCATENATE("R5C",'Mapa final'!#REF!),"")</f>
        <v>#REF!</v>
      </c>
      <c r="O10" s="54" t="e">
        <f>IF(AND('Mapa final'!#REF!="Muy Alta",'Mapa final'!#REF!="Leve"),CONCATENATE("R5C",'Mapa final'!#REF!),"")</f>
        <v>#REF!</v>
      </c>
      <c r="P10" s="52" t="e">
        <f>IF(AND('Mapa final'!#REF!="Muy Alta",'Mapa final'!#REF!="Menor"),CONCATENATE("R5C",'Mapa final'!#REF!),"")</f>
        <v>#REF!</v>
      </c>
      <c r="Q10" s="53" t="e">
        <f>IF(AND('Mapa final'!#REF!="Muy Alta",'Mapa final'!#REF!="Menor"),CONCATENATE("R5C",'Mapa final'!#REF!),"")</f>
        <v>#REF!</v>
      </c>
      <c r="R10" s="58" t="e">
        <f>IF(AND('Mapa final'!#REF!="Muy Alta",'Mapa final'!#REF!="Menor"),CONCATENATE("R5C",'Mapa final'!#REF!),"")</f>
        <v>#REF!</v>
      </c>
      <c r="S10" s="58" t="e">
        <f>IF(AND('Mapa final'!#REF!="Muy Alta",'Mapa final'!#REF!="Menor"),CONCATENATE("R5C",'Mapa final'!#REF!),"")</f>
        <v>#REF!</v>
      </c>
      <c r="T10" s="58" t="e">
        <f>IF(AND('Mapa final'!#REF!="Muy Alta",'Mapa final'!#REF!="Menor"),CONCATENATE("R5C",'Mapa final'!#REF!),"")</f>
        <v>#REF!</v>
      </c>
      <c r="U10" s="54" t="e">
        <f>IF(AND('Mapa final'!#REF!="Muy Alta",'Mapa final'!#REF!="Menor"),CONCATENATE("R5C",'Mapa final'!#REF!),"")</f>
        <v>#REF!</v>
      </c>
      <c r="V10" s="52" t="e">
        <f>IF(AND('Mapa final'!#REF!="Muy Alta",'Mapa final'!#REF!="Moderado"),CONCATENATE("R5C",'Mapa final'!#REF!),"")</f>
        <v>#REF!</v>
      </c>
      <c r="W10" s="53" t="e">
        <f>IF(AND('Mapa final'!#REF!="Muy Alta",'Mapa final'!#REF!="Moderado"),CONCATENATE("R5C",'Mapa final'!#REF!),"")</f>
        <v>#REF!</v>
      </c>
      <c r="X10" s="58" t="e">
        <f>IF(AND('Mapa final'!#REF!="Muy Alta",'Mapa final'!#REF!="Moderado"),CONCATENATE("R5C",'Mapa final'!#REF!),"")</f>
        <v>#REF!</v>
      </c>
      <c r="Y10" s="58" t="e">
        <f>IF(AND('Mapa final'!#REF!="Muy Alta",'Mapa final'!#REF!="Moderado"),CONCATENATE("R5C",'Mapa final'!#REF!),"")</f>
        <v>#REF!</v>
      </c>
      <c r="Z10" s="58" t="e">
        <f>IF(AND('Mapa final'!#REF!="Muy Alta",'Mapa final'!#REF!="Moderado"),CONCATENATE("R5C",'Mapa final'!#REF!),"")</f>
        <v>#REF!</v>
      </c>
      <c r="AA10" s="54" t="e">
        <f>IF(AND('Mapa final'!#REF!="Muy Alta",'Mapa final'!#REF!="Moderado"),CONCATENATE("R5C",'Mapa final'!#REF!),"")</f>
        <v>#REF!</v>
      </c>
      <c r="AB10" s="52" t="e">
        <f>IF(AND('Mapa final'!#REF!="Muy Alta",'Mapa final'!#REF!="Mayor"),CONCATENATE("R5C",'Mapa final'!#REF!),"")</f>
        <v>#REF!</v>
      </c>
      <c r="AC10" s="53" t="e">
        <f>IF(AND('Mapa final'!#REF!="Muy Alta",'Mapa final'!#REF!="Mayor"),CONCATENATE("R5C",'Mapa final'!#REF!),"")</f>
        <v>#REF!</v>
      </c>
      <c r="AD10" s="58" t="e">
        <f>IF(AND('Mapa final'!#REF!="Muy Alta",'Mapa final'!#REF!="Mayor"),CONCATENATE("R5C",'Mapa final'!#REF!),"")</f>
        <v>#REF!</v>
      </c>
      <c r="AE10" s="58" t="e">
        <f>IF(AND('Mapa final'!#REF!="Muy Alta",'Mapa final'!#REF!="Mayor"),CONCATENATE("R5C",'Mapa final'!#REF!),"")</f>
        <v>#REF!</v>
      </c>
      <c r="AF10" s="58" t="e">
        <f>IF(AND('Mapa final'!#REF!="Muy Alta",'Mapa final'!#REF!="Mayor"),CONCATENATE("R5C",'Mapa final'!#REF!),"")</f>
        <v>#REF!</v>
      </c>
      <c r="AG10" s="54" t="e">
        <f>IF(AND('Mapa final'!#REF!="Muy Alta",'Mapa final'!#REF!="Mayor"),CONCATENATE("R5C",'Mapa final'!#REF!),"")</f>
        <v>#REF!</v>
      </c>
      <c r="AH10" s="55" t="e">
        <f>IF(AND('Mapa final'!#REF!="Muy Alta",'Mapa final'!#REF!="Catastrófico"),CONCATENATE("R5C",'Mapa final'!#REF!),"")</f>
        <v>#REF!</v>
      </c>
      <c r="AI10" s="56" t="e">
        <f>IF(AND('Mapa final'!#REF!="Muy Alta",'Mapa final'!#REF!="Catastrófico"),CONCATENATE("R5C",'Mapa final'!#REF!),"")</f>
        <v>#REF!</v>
      </c>
      <c r="AJ10" s="56" t="e">
        <f>IF(AND('Mapa final'!#REF!="Muy Alta",'Mapa final'!#REF!="Catastrófico"),CONCATENATE("R5C",'Mapa final'!#REF!),"")</f>
        <v>#REF!</v>
      </c>
      <c r="AK10" s="56" t="e">
        <f>IF(AND('Mapa final'!#REF!="Muy Alta",'Mapa final'!#REF!="Catastrófico"),CONCATENATE("R5C",'Mapa final'!#REF!),"")</f>
        <v>#REF!</v>
      </c>
      <c r="AL10" s="56" t="e">
        <f>IF(AND('Mapa final'!#REF!="Muy Alta",'Mapa final'!#REF!="Catastrófico"),CONCATENATE("R5C",'Mapa final'!#REF!),"")</f>
        <v>#REF!</v>
      </c>
      <c r="AM10" s="57" t="e">
        <f>IF(AND('Mapa final'!#REF!="Muy Alta",'Mapa final'!#REF!="Catastrófico"),CONCATENATE("R5C",'Mapa final'!#REF!),"")</f>
        <v>#REF!</v>
      </c>
      <c r="AN10" s="84"/>
      <c r="AO10" s="403"/>
      <c r="AP10" s="404"/>
      <c r="AQ10" s="404"/>
      <c r="AR10" s="404"/>
      <c r="AS10" s="404"/>
      <c r="AT10" s="405"/>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x14ac:dyDescent="0.25">
      <c r="A11" s="84"/>
      <c r="B11" s="295"/>
      <c r="C11" s="295"/>
      <c r="D11" s="296"/>
      <c r="E11" s="396"/>
      <c r="F11" s="397"/>
      <c r="G11" s="397"/>
      <c r="H11" s="397"/>
      <c r="I11" s="412"/>
      <c r="J11" s="52" t="str">
        <f>IF(AND('Mapa final'!$Y$13="Muy Alta",'Mapa final'!$AA$13="Leve"),CONCATENATE("R6C",'Mapa final'!$O$13),"")</f>
        <v/>
      </c>
      <c r="K11" s="53" t="str">
        <f>IF(AND('Mapa final'!$Y$14="Muy Alta",'Mapa final'!$AA$14="Leve"),CONCATENATE("R6C",'Mapa final'!$O$14),"")</f>
        <v/>
      </c>
      <c r="L11" s="58" t="str">
        <f>IF(AND('Mapa final'!$Y$15="Muy Alta",'Mapa final'!$AA$15="Leve"),CONCATENATE("R6C",'Mapa final'!$O$15),"")</f>
        <v/>
      </c>
      <c r="M11" s="58" t="str">
        <f>IF(AND('Mapa final'!$Y$16="Muy Alta",'Mapa final'!$AA$16="Leve"),CONCATENATE("R6C",'Mapa final'!$O$16),"")</f>
        <v/>
      </c>
      <c r="N11" s="58" t="str">
        <f>IF(AND('Mapa final'!$Y$17="Muy Alta",'Mapa final'!$AA$17="Leve"),CONCATENATE("R6C",'Mapa final'!$O$17),"")</f>
        <v/>
      </c>
      <c r="O11" s="54" t="str">
        <f>IF(AND('Mapa final'!$Y$18="Muy Alta",'Mapa final'!$AA$18="Leve"),CONCATENATE("R6C",'Mapa final'!$O$18),"")</f>
        <v/>
      </c>
      <c r="P11" s="52" t="str">
        <f>IF(AND('Mapa final'!$Y$13="Muy Alta",'Mapa final'!$AA$13="Menor"),CONCATENATE("R6C",'Mapa final'!$O$13),"")</f>
        <v/>
      </c>
      <c r="Q11" s="53" t="str">
        <f>IF(AND('Mapa final'!$Y$14="Muy Alta",'Mapa final'!$AA$14="Menor"),CONCATENATE("R6C",'Mapa final'!$O$14),"")</f>
        <v/>
      </c>
      <c r="R11" s="58" t="str">
        <f>IF(AND('Mapa final'!$Y$15="Muy Alta",'Mapa final'!$AA$15="Menor"),CONCATENATE("R6C",'Mapa final'!$O$15),"")</f>
        <v/>
      </c>
      <c r="S11" s="58" t="str">
        <f>IF(AND('Mapa final'!$Y$16="Muy Alta",'Mapa final'!$AA$16="Menor"),CONCATENATE("R6C",'Mapa final'!$O$16),"")</f>
        <v/>
      </c>
      <c r="T11" s="58" t="str">
        <f>IF(AND('Mapa final'!$Y$17="Muy Alta",'Mapa final'!$AA$17="Menor"),CONCATENATE("R6C",'Mapa final'!$O$17),"")</f>
        <v/>
      </c>
      <c r="U11" s="54" t="str">
        <f>IF(AND('Mapa final'!$Y$18="Muy Alta",'Mapa final'!$AA$18="Menor"),CONCATENATE("R6C",'Mapa final'!$O$18),"")</f>
        <v/>
      </c>
      <c r="V11" s="52" t="str">
        <f>IF(AND('Mapa final'!$Y$13="Muy Alta",'Mapa final'!$AA$13="Moderado"),CONCATENATE("R6C",'Mapa final'!$O$13),"")</f>
        <v/>
      </c>
      <c r="W11" s="53" t="str">
        <f>IF(AND('Mapa final'!$Y$14="Muy Alta",'Mapa final'!$AA$14="Moderado"),CONCATENATE("R6C",'Mapa final'!$O$14),"")</f>
        <v/>
      </c>
      <c r="X11" s="58" t="str">
        <f>IF(AND('Mapa final'!$Y$15="Muy Alta",'Mapa final'!$AA$15="Moderado"),CONCATENATE("R6C",'Mapa final'!$O$15),"")</f>
        <v/>
      </c>
      <c r="Y11" s="58" t="str">
        <f>IF(AND('Mapa final'!$Y$16="Muy Alta",'Mapa final'!$AA$16="Moderado"),CONCATENATE("R6C",'Mapa final'!$O$16),"")</f>
        <v/>
      </c>
      <c r="Z11" s="58" t="str">
        <f>IF(AND('Mapa final'!$Y$17="Muy Alta",'Mapa final'!$AA$17="Moderado"),CONCATENATE("R6C",'Mapa final'!$O$17),"")</f>
        <v/>
      </c>
      <c r="AA11" s="54" t="str">
        <f>IF(AND('Mapa final'!$Y$18="Muy Alta",'Mapa final'!$AA$18="Moderado"),CONCATENATE("R6C",'Mapa final'!$O$18),"")</f>
        <v/>
      </c>
      <c r="AB11" s="52" t="str">
        <f>IF(AND('Mapa final'!$Y$13="Muy Alta",'Mapa final'!$AA$13="Mayor"),CONCATENATE("R6C",'Mapa final'!$O$13),"")</f>
        <v/>
      </c>
      <c r="AC11" s="53" t="str">
        <f>IF(AND('Mapa final'!$Y$14="Muy Alta",'Mapa final'!$AA$14="Mayor"),CONCATENATE("R6C",'Mapa final'!$O$14),"")</f>
        <v/>
      </c>
      <c r="AD11" s="58" t="str">
        <f>IF(AND('Mapa final'!$Y$15="Muy Alta",'Mapa final'!$AA$15="Mayor"),CONCATENATE("R6C",'Mapa final'!$O$15),"")</f>
        <v/>
      </c>
      <c r="AE11" s="58" t="str">
        <f>IF(AND('Mapa final'!$Y$16="Muy Alta",'Mapa final'!$AA$16="Mayor"),CONCATENATE("R6C",'Mapa final'!$O$16),"")</f>
        <v/>
      </c>
      <c r="AF11" s="58" t="str">
        <f>IF(AND('Mapa final'!$Y$17="Muy Alta",'Mapa final'!$AA$17="Mayor"),CONCATENATE("R6C",'Mapa final'!$O$17),"")</f>
        <v/>
      </c>
      <c r="AG11" s="54" t="str">
        <f>IF(AND('Mapa final'!$Y$18="Muy Alta",'Mapa final'!$AA$18="Mayor"),CONCATENATE("R6C",'Mapa final'!$O$18),"")</f>
        <v/>
      </c>
      <c r="AH11" s="55" t="str">
        <f>IF(AND('Mapa final'!$Y$13="Muy Alta",'Mapa final'!$AA$13="Catastrófico"),CONCATENATE("R6C",'Mapa final'!$O$13),"")</f>
        <v/>
      </c>
      <c r="AI11" s="56" t="str">
        <f>IF(AND('Mapa final'!$Y$14="Muy Alta",'Mapa final'!$AA$14="Catastrófico"),CONCATENATE("R6C",'Mapa final'!$O$14),"")</f>
        <v/>
      </c>
      <c r="AJ11" s="56" t="str">
        <f>IF(AND('Mapa final'!$Y$15="Muy Alta",'Mapa final'!$AA$15="Catastrófico"),CONCATENATE("R6C",'Mapa final'!$O$15),"")</f>
        <v/>
      </c>
      <c r="AK11" s="56" t="str">
        <f>IF(AND('Mapa final'!$Y$16="Muy Alta",'Mapa final'!$AA$16="Catastrófico"),CONCATENATE("R6C",'Mapa final'!$O$16),"")</f>
        <v/>
      </c>
      <c r="AL11" s="56" t="str">
        <f>IF(AND('Mapa final'!$Y$17="Muy Alta",'Mapa final'!$AA$17="Catastrófico"),CONCATENATE("R6C",'Mapa final'!$O$17),"")</f>
        <v/>
      </c>
      <c r="AM11" s="57" t="str">
        <f>IF(AND('Mapa final'!$Y$18="Muy Alta",'Mapa final'!$AA$18="Catastrófico"),CONCATENATE("R6C",'Mapa final'!$O$18),"")</f>
        <v/>
      </c>
      <c r="AN11" s="84"/>
      <c r="AO11" s="403"/>
      <c r="AP11" s="404"/>
      <c r="AQ11" s="404"/>
      <c r="AR11" s="404"/>
      <c r="AS11" s="404"/>
      <c r="AT11" s="405"/>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x14ac:dyDescent="0.25">
      <c r="A12" s="84"/>
      <c r="B12" s="295"/>
      <c r="C12" s="295"/>
      <c r="D12" s="296"/>
      <c r="E12" s="396"/>
      <c r="F12" s="397"/>
      <c r="G12" s="397"/>
      <c r="H12" s="397"/>
      <c r="I12" s="412"/>
      <c r="J12" s="52" t="str">
        <f>IF(AND('Mapa final'!$Y$19="Muy Alta",'Mapa final'!$AA$19="Leve"),CONCATENATE("R7C",'Mapa final'!$O$19),"")</f>
        <v/>
      </c>
      <c r="K12" s="53" t="str">
        <f>IF(AND('Mapa final'!$Y$20="Muy Alta",'Mapa final'!$AA$20="Leve"),CONCATENATE("R7C",'Mapa final'!$O$20),"")</f>
        <v/>
      </c>
      <c r="L12" s="58" t="str">
        <f>IF(AND('Mapa final'!$Y$21="Muy Alta",'Mapa final'!$AA$21="Leve"),CONCATENATE("R7C",'Mapa final'!$O$21),"")</f>
        <v/>
      </c>
      <c r="M12" s="58" t="str">
        <f>IF(AND('Mapa final'!$Y$22="Muy Alta",'Mapa final'!$AA$22="Leve"),CONCATENATE("R7C",'Mapa final'!$O$22),"")</f>
        <v/>
      </c>
      <c r="N12" s="58" t="str">
        <f>IF(AND('Mapa final'!$Y$23="Muy Alta",'Mapa final'!$AA$23="Leve"),CONCATENATE("R7C",'Mapa final'!$O$23),"")</f>
        <v/>
      </c>
      <c r="O12" s="54" t="str">
        <f>IF(AND('Mapa final'!$Y$24="Muy Alta",'Mapa final'!$AA$24="Leve"),CONCATENATE("R7C",'Mapa final'!$O$24),"")</f>
        <v/>
      </c>
      <c r="P12" s="52" t="str">
        <f>IF(AND('Mapa final'!$Y$19="Muy Alta",'Mapa final'!$AA$19="Menor"),CONCATENATE("R7C",'Mapa final'!$O$19),"")</f>
        <v/>
      </c>
      <c r="Q12" s="53" t="str">
        <f>IF(AND('Mapa final'!$Y$20="Muy Alta",'Mapa final'!$AA$20="Menor"),CONCATENATE("R7C",'Mapa final'!$O$20),"")</f>
        <v/>
      </c>
      <c r="R12" s="58" t="str">
        <f>IF(AND('Mapa final'!$Y$21="Muy Alta",'Mapa final'!$AA$21="Menor"),CONCATENATE("R7C",'Mapa final'!$O$21),"")</f>
        <v/>
      </c>
      <c r="S12" s="58" t="str">
        <f>IF(AND('Mapa final'!$Y$22="Muy Alta",'Mapa final'!$AA$22="Menor"),CONCATENATE("R7C",'Mapa final'!$O$22),"")</f>
        <v/>
      </c>
      <c r="T12" s="58" t="str">
        <f>IF(AND('Mapa final'!$Y$23="Muy Alta",'Mapa final'!$AA$23="Menor"),CONCATENATE("R7C",'Mapa final'!$O$23),"")</f>
        <v/>
      </c>
      <c r="U12" s="54" t="str">
        <f>IF(AND('Mapa final'!$Y$24="Muy Alta",'Mapa final'!$AA$24="Menor"),CONCATENATE("R7C",'Mapa final'!$O$24),"")</f>
        <v/>
      </c>
      <c r="V12" s="52" t="str">
        <f>IF(AND('Mapa final'!$Y$19="Muy Alta",'Mapa final'!$AA$19="Moderado"),CONCATENATE("R7C",'Mapa final'!$O$19),"")</f>
        <v/>
      </c>
      <c r="W12" s="53" t="str">
        <f>IF(AND('Mapa final'!$Y$20="Muy Alta",'Mapa final'!$AA$20="Moderado"),CONCATENATE("R7C",'Mapa final'!$O$20),"")</f>
        <v/>
      </c>
      <c r="X12" s="58" t="str">
        <f>IF(AND('Mapa final'!$Y$21="Muy Alta",'Mapa final'!$AA$21="Moderado"),CONCATENATE("R7C",'Mapa final'!$O$21),"")</f>
        <v/>
      </c>
      <c r="Y12" s="58" t="str">
        <f>IF(AND('Mapa final'!$Y$22="Muy Alta",'Mapa final'!$AA$22="Moderado"),CONCATENATE("R7C",'Mapa final'!$O$22),"")</f>
        <v/>
      </c>
      <c r="Z12" s="58" t="str">
        <f>IF(AND('Mapa final'!$Y$23="Muy Alta",'Mapa final'!$AA$23="Moderado"),CONCATENATE("R7C",'Mapa final'!$O$23),"")</f>
        <v/>
      </c>
      <c r="AA12" s="54" t="str">
        <f>IF(AND('Mapa final'!$Y$24="Muy Alta",'Mapa final'!$AA$24="Moderado"),CONCATENATE("R7C",'Mapa final'!$O$24),"")</f>
        <v/>
      </c>
      <c r="AB12" s="52" t="str">
        <f>IF(AND('Mapa final'!$Y$19="Muy Alta",'Mapa final'!$AA$19="Mayor"),CONCATENATE("R7C",'Mapa final'!$O$19),"")</f>
        <v/>
      </c>
      <c r="AC12" s="53" t="str">
        <f>IF(AND('Mapa final'!$Y$20="Muy Alta",'Mapa final'!$AA$20="Mayor"),CONCATENATE("R7C",'Mapa final'!$O$20),"")</f>
        <v/>
      </c>
      <c r="AD12" s="58" t="str">
        <f>IF(AND('Mapa final'!$Y$21="Muy Alta",'Mapa final'!$AA$21="Mayor"),CONCATENATE("R7C",'Mapa final'!$O$21),"")</f>
        <v/>
      </c>
      <c r="AE12" s="58" t="str">
        <f>IF(AND('Mapa final'!$Y$22="Muy Alta",'Mapa final'!$AA$22="Mayor"),CONCATENATE("R7C",'Mapa final'!$O$22),"")</f>
        <v/>
      </c>
      <c r="AF12" s="58" t="str">
        <f>IF(AND('Mapa final'!$Y$23="Muy Alta",'Mapa final'!$AA$23="Mayor"),CONCATENATE("R7C",'Mapa final'!$O$23),"")</f>
        <v/>
      </c>
      <c r="AG12" s="54" t="str">
        <f>IF(AND('Mapa final'!$Y$24="Muy Alta",'Mapa final'!$AA$24="Mayor"),CONCATENATE("R7C",'Mapa final'!$O$24),"")</f>
        <v/>
      </c>
      <c r="AH12" s="55" t="str">
        <f>IF(AND('Mapa final'!$Y$19="Muy Alta",'Mapa final'!$AA$19="Catastrófico"),CONCATENATE("R7C",'Mapa final'!$O$19),"")</f>
        <v/>
      </c>
      <c r="AI12" s="56" t="str">
        <f>IF(AND('Mapa final'!$Y$20="Muy Alta",'Mapa final'!$AA$20="Catastrófico"),CONCATENATE("R7C",'Mapa final'!$O$20),"")</f>
        <v/>
      </c>
      <c r="AJ12" s="56" t="str">
        <f>IF(AND('Mapa final'!$Y$21="Muy Alta",'Mapa final'!$AA$21="Catastrófico"),CONCATENATE("R7C",'Mapa final'!$O$21),"")</f>
        <v/>
      </c>
      <c r="AK12" s="56" t="str">
        <f>IF(AND('Mapa final'!$Y$22="Muy Alta",'Mapa final'!$AA$22="Catastrófico"),CONCATENATE("R7C",'Mapa final'!$O$22),"")</f>
        <v/>
      </c>
      <c r="AL12" s="56" t="str">
        <f>IF(AND('Mapa final'!$Y$23="Muy Alta",'Mapa final'!$AA$23="Catastrófico"),CONCATENATE("R7C",'Mapa final'!$O$23),"")</f>
        <v/>
      </c>
      <c r="AM12" s="57" t="str">
        <f>IF(AND('Mapa final'!$Y$24="Muy Alta",'Mapa final'!$AA$24="Catastrófico"),CONCATENATE("R7C",'Mapa final'!$O$24),"")</f>
        <v/>
      </c>
      <c r="AN12" s="84"/>
      <c r="AO12" s="403"/>
      <c r="AP12" s="404"/>
      <c r="AQ12" s="404"/>
      <c r="AR12" s="404"/>
      <c r="AS12" s="404"/>
      <c r="AT12" s="405"/>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x14ac:dyDescent="0.25">
      <c r="A13" s="84"/>
      <c r="B13" s="295"/>
      <c r="C13" s="295"/>
      <c r="D13" s="296"/>
      <c r="E13" s="396"/>
      <c r="F13" s="397"/>
      <c r="G13" s="397"/>
      <c r="H13" s="397"/>
      <c r="I13" s="412"/>
      <c r="J13" s="52" t="str">
        <f>IF(AND('Mapa final'!$Y$25="Muy Alta",'Mapa final'!$AA$25="Leve"),CONCATENATE("R8C",'Mapa final'!$O$25),"")</f>
        <v/>
      </c>
      <c r="K13" s="53" t="str">
        <f>IF(AND('Mapa final'!$Y$26="Muy Alta",'Mapa final'!$AA$26="Leve"),CONCATENATE("R8C",'Mapa final'!$O$26),"")</f>
        <v/>
      </c>
      <c r="L13" s="58" t="str">
        <f>IF(AND('Mapa final'!$Y$27="Muy Alta",'Mapa final'!$AA$27="Leve"),CONCATENATE("R8C",'Mapa final'!$O$27),"")</f>
        <v/>
      </c>
      <c r="M13" s="58" t="str">
        <f>IF(AND('Mapa final'!$Y$28="Muy Alta",'Mapa final'!$AA$28="Leve"),CONCATENATE("R8C",'Mapa final'!$O$28),"")</f>
        <v/>
      </c>
      <c r="N13" s="58" t="str">
        <f>IF(AND('Mapa final'!$Y$29="Muy Alta",'Mapa final'!$AA$29="Leve"),CONCATENATE("R8C",'Mapa final'!$O$29),"")</f>
        <v/>
      </c>
      <c r="O13" s="54" t="str">
        <f>IF(AND('Mapa final'!$Y$30="Muy Alta",'Mapa final'!$AA$30="Leve"),CONCATENATE("R8C",'Mapa final'!$O$30),"")</f>
        <v/>
      </c>
      <c r="P13" s="52" t="str">
        <f>IF(AND('Mapa final'!$Y$25="Muy Alta",'Mapa final'!$AA$25="Menor"),CONCATENATE("R8C",'Mapa final'!$O$25),"")</f>
        <v/>
      </c>
      <c r="Q13" s="53" t="str">
        <f>IF(AND('Mapa final'!$Y$26="Muy Alta",'Mapa final'!$AA$26="Menor"),CONCATENATE("R8C",'Mapa final'!$O$26),"")</f>
        <v/>
      </c>
      <c r="R13" s="58" t="str">
        <f>IF(AND('Mapa final'!$Y$27="Muy Alta",'Mapa final'!$AA$27="Menor"),CONCATENATE("R8C",'Mapa final'!$O$27),"")</f>
        <v/>
      </c>
      <c r="S13" s="58" t="str">
        <f>IF(AND('Mapa final'!$Y$28="Muy Alta",'Mapa final'!$AA$28="Menor"),CONCATENATE("R8C",'Mapa final'!$O$28),"")</f>
        <v/>
      </c>
      <c r="T13" s="58" t="str">
        <f>IF(AND('Mapa final'!$Y$29="Muy Alta",'Mapa final'!$AA$29="Menor"),CONCATENATE("R8C",'Mapa final'!$O$29),"")</f>
        <v/>
      </c>
      <c r="U13" s="54" t="str">
        <f>IF(AND('Mapa final'!$Y$30="Muy Alta",'Mapa final'!$AA$30="Menor"),CONCATENATE("R8C",'Mapa final'!$O$30),"")</f>
        <v/>
      </c>
      <c r="V13" s="52" t="str">
        <f>IF(AND('Mapa final'!$Y$25="Muy Alta",'Mapa final'!$AA$25="Moderado"),CONCATENATE("R8C",'Mapa final'!$O$25),"")</f>
        <v/>
      </c>
      <c r="W13" s="53" t="str">
        <f>IF(AND('Mapa final'!$Y$26="Muy Alta",'Mapa final'!$AA$26="Moderado"),CONCATENATE("R8C",'Mapa final'!$O$26),"")</f>
        <v/>
      </c>
      <c r="X13" s="58" t="str">
        <f>IF(AND('Mapa final'!$Y$27="Muy Alta",'Mapa final'!$AA$27="Moderado"),CONCATENATE("R8C",'Mapa final'!$O$27),"")</f>
        <v/>
      </c>
      <c r="Y13" s="58" t="str">
        <f>IF(AND('Mapa final'!$Y$28="Muy Alta",'Mapa final'!$AA$28="Moderado"),CONCATENATE("R8C",'Mapa final'!$O$28),"")</f>
        <v/>
      </c>
      <c r="Z13" s="58" t="str">
        <f>IF(AND('Mapa final'!$Y$29="Muy Alta",'Mapa final'!$AA$29="Moderado"),CONCATENATE("R8C",'Mapa final'!$O$29),"")</f>
        <v/>
      </c>
      <c r="AA13" s="54" t="str">
        <f>IF(AND('Mapa final'!$Y$30="Muy Alta",'Mapa final'!$AA$30="Moderado"),CONCATENATE("R8C",'Mapa final'!$O$30),"")</f>
        <v/>
      </c>
      <c r="AB13" s="52" t="str">
        <f>IF(AND('Mapa final'!$Y$25="Muy Alta",'Mapa final'!$AA$25="Mayor"),CONCATENATE("R8C",'Mapa final'!$O$25),"")</f>
        <v/>
      </c>
      <c r="AC13" s="53" t="str">
        <f>IF(AND('Mapa final'!$Y$26="Muy Alta",'Mapa final'!$AA$26="Mayor"),CONCATENATE("R8C",'Mapa final'!$O$26),"")</f>
        <v/>
      </c>
      <c r="AD13" s="58" t="str">
        <f>IF(AND('Mapa final'!$Y$27="Muy Alta",'Mapa final'!$AA$27="Mayor"),CONCATENATE("R8C",'Mapa final'!$O$27),"")</f>
        <v/>
      </c>
      <c r="AE13" s="58" t="str">
        <f>IF(AND('Mapa final'!$Y$28="Muy Alta",'Mapa final'!$AA$28="Mayor"),CONCATENATE("R8C",'Mapa final'!$O$28),"")</f>
        <v/>
      </c>
      <c r="AF13" s="58" t="str">
        <f>IF(AND('Mapa final'!$Y$29="Muy Alta",'Mapa final'!$AA$29="Mayor"),CONCATENATE("R8C",'Mapa final'!$O$29),"")</f>
        <v/>
      </c>
      <c r="AG13" s="54" t="str">
        <f>IF(AND('Mapa final'!$Y$30="Muy Alta",'Mapa final'!$AA$30="Mayor"),CONCATENATE("R8C",'Mapa final'!$O$30),"")</f>
        <v/>
      </c>
      <c r="AH13" s="55" t="str">
        <f>IF(AND('Mapa final'!$Y$25="Muy Alta",'Mapa final'!$AA$25="Catastrófico"),CONCATENATE("R8C",'Mapa final'!$O$25),"")</f>
        <v/>
      </c>
      <c r="AI13" s="56" t="str">
        <f>IF(AND('Mapa final'!$Y$26="Muy Alta",'Mapa final'!$AA$26="Catastrófico"),CONCATENATE("R8C",'Mapa final'!$O$26),"")</f>
        <v/>
      </c>
      <c r="AJ13" s="56" t="str">
        <f>IF(AND('Mapa final'!$Y$27="Muy Alta",'Mapa final'!$AA$27="Catastrófico"),CONCATENATE("R8C",'Mapa final'!$O$27),"")</f>
        <v/>
      </c>
      <c r="AK13" s="56" t="str">
        <f>IF(AND('Mapa final'!$Y$28="Muy Alta",'Mapa final'!$AA$28="Catastrófico"),CONCATENATE("R8C",'Mapa final'!$O$28),"")</f>
        <v/>
      </c>
      <c r="AL13" s="56" t="str">
        <f>IF(AND('Mapa final'!$Y$29="Muy Alta",'Mapa final'!$AA$29="Catastrófico"),CONCATENATE("R8C",'Mapa final'!$O$29),"")</f>
        <v/>
      </c>
      <c r="AM13" s="57" t="str">
        <f>IF(AND('Mapa final'!$Y$30="Muy Alta",'Mapa final'!$AA$30="Catastrófico"),CONCATENATE("R8C",'Mapa final'!$O$30),"")</f>
        <v/>
      </c>
      <c r="AN13" s="84"/>
      <c r="AO13" s="403"/>
      <c r="AP13" s="404"/>
      <c r="AQ13" s="404"/>
      <c r="AR13" s="404"/>
      <c r="AS13" s="404"/>
      <c r="AT13" s="405"/>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x14ac:dyDescent="0.25">
      <c r="A14" s="84"/>
      <c r="B14" s="295"/>
      <c r="C14" s="295"/>
      <c r="D14" s="296"/>
      <c r="E14" s="396"/>
      <c r="F14" s="397"/>
      <c r="G14" s="397"/>
      <c r="H14" s="397"/>
      <c r="I14" s="412"/>
      <c r="J14" s="52" t="str">
        <f>IF(AND('Mapa final'!$Y$31="Muy Alta",'Mapa final'!$AA$31="Leve"),CONCATENATE("R9C",'Mapa final'!$O$31),"")</f>
        <v/>
      </c>
      <c r="K14" s="53" t="str">
        <f>IF(AND('Mapa final'!$Y$32="Muy Alta",'Mapa final'!$AA$32="Leve"),CONCATENATE("R9C",'Mapa final'!$O$32),"")</f>
        <v/>
      </c>
      <c r="L14" s="58" t="str">
        <f>IF(AND('Mapa final'!$Y$33="Muy Alta",'Mapa final'!$AA$33="Leve"),CONCATENATE("R9C",'Mapa final'!$O$33),"")</f>
        <v/>
      </c>
      <c r="M14" s="58" t="str">
        <f>IF(AND('Mapa final'!$Y$34="Muy Alta",'Mapa final'!$AA$34="Leve"),CONCATENATE("R9C",'Mapa final'!$O$34),"")</f>
        <v/>
      </c>
      <c r="N14" s="58" t="str">
        <f>IF(AND('Mapa final'!$Y$35="Muy Alta",'Mapa final'!$AA$35="Leve"),CONCATENATE("R9C",'Mapa final'!$O$35),"")</f>
        <v/>
      </c>
      <c r="O14" s="54" t="str">
        <f>IF(AND('Mapa final'!$Y$36="Muy Alta",'Mapa final'!$AA$36="Leve"),CONCATENATE("R9C",'Mapa final'!$O$36),"")</f>
        <v/>
      </c>
      <c r="P14" s="52" t="str">
        <f>IF(AND('Mapa final'!$Y$31="Muy Alta",'Mapa final'!$AA$31="Menor"),CONCATENATE("R9C",'Mapa final'!$O$31),"")</f>
        <v/>
      </c>
      <c r="Q14" s="53" t="str">
        <f>IF(AND('Mapa final'!$Y$32="Muy Alta",'Mapa final'!$AA$32="Menor"),CONCATENATE("R9C",'Mapa final'!$O$32),"")</f>
        <v/>
      </c>
      <c r="R14" s="58" t="str">
        <f>IF(AND('Mapa final'!$Y$33="Muy Alta",'Mapa final'!$AA$33="Menor"),CONCATENATE("R9C",'Mapa final'!$O$33),"")</f>
        <v/>
      </c>
      <c r="S14" s="58" t="str">
        <f>IF(AND('Mapa final'!$Y$34="Muy Alta",'Mapa final'!$AA$34="Menor"),CONCATENATE("R9C",'Mapa final'!$O$34),"")</f>
        <v/>
      </c>
      <c r="T14" s="58" t="str">
        <f>IF(AND('Mapa final'!$Y$35="Muy Alta",'Mapa final'!$AA$35="Menor"),CONCATENATE("R9C",'Mapa final'!$O$35),"")</f>
        <v/>
      </c>
      <c r="U14" s="54" t="str">
        <f>IF(AND('Mapa final'!$Y$36="Muy Alta",'Mapa final'!$AA$36="Menor"),CONCATENATE("R9C",'Mapa final'!$O$36),"")</f>
        <v/>
      </c>
      <c r="V14" s="52" t="str">
        <f>IF(AND('Mapa final'!$Y$31="Muy Alta",'Mapa final'!$AA$31="Moderado"),CONCATENATE("R9C",'Mapa final'!$O$31),"")</f>
        <v/>
      </c>
      <c r="W14" s="53" t="str">
        <f>IF(AND('Mapa final'!$Y$32="Muy Alta",'Mapa final'!$AA$32="Moderado"),CONCATENATE("R9C",'Mapa final'!$O$32),"")</f>
        <v/>
      </c>
      <c r="X14" s="58" t="str">
        <f>IF(AND('Mapa final'!$Y$33="Muy Alta",'Mapa final'!$AA$33="Moderado"),CONCATENATE("R9C",'Mapa final'!$O$33),"")</f>
        <v/>
      </c>
      <c r="Y14" s="58" t="str">
        <f>IF(AND('Mapa final'!$Y$34="Muy Alta",'Mapa final'!$AA$34="Moderado"),CONCATENATE("R9C",'Mapa final'!$O$34),"")</f>
        <v/>
      </c>
      <c r="Z14" s="58" t="str">
        <f>IF(AND('Mapa final'!$Y$35="Muy Alta",'Mapa final'!$AA$35="Moderado"),CONCATENATE("R9C",'Mapa final'!$O$35),"")</f>
        <v/>
      </c>
      <c r="AA14" s="54" t="str">
        <f>IF(AND('Mapa final'!$Y$36="Muy Alta",'Mapa final'!$AA$36="Moderado"),CONCATENATE("R9C",'Mapa final'!$O$36),"")</f>
        <v/>
      </c>
      <c r="AB14" s="52" t="str">
        <f>IF(AND('Mapa final'!$Y$31="Muy Alta",'Mapa final'!$AA$31="Mayor"),CONCATENATE("R9C",'Mapa final'!$O$31),"")</f>
        <v/>
      </c>
      <c r="AC14" s="53" t="str">
        <f>IF(AND('Mapa final'!$Y$32="Muy Alta",'Mapa final'!$AA$32="Mayor"),CONCATENATE("R9C",'Mapa final'!$O$32),"")</f>
        <v/>
      </c>
      <c r="AD14" s="58" t="str">
        <f>IF(AND('Mapa final'!$Y$33="Muy Alta",'Mapa final'!$AA$33="Mayor"),CONCATENATE("R9C",'Mapa final'!$O$33),"")</f>
        <v/>
      </c>
      <c r="AE14" s="58" t="str">
        <f>IF(AND('Mapa final'!$Y$34="Muy Alta",'Mapa final'!$AA$34="Mayor"),CONCATENATE("R9C",'Mapa final'!$O$34),"")</f>
        <v/>
      </c>
      <c r="AF14" s="58" t="str">
        <f>IF(AND('Mapa final'!$Y$35="Muy Alta",'Mapa final'!$AA$35="Mayor"),CONCATENATE("R9C",'Mapa final'!$O$35),"")</f>
        <v/>
      </c>
      <c r="AG14" s="54" t="str">
        <f>IF(AND('Mapa final'!$Y$36="Muy Alta",'Mapa final'!$AA$36="Mayor"),CONCATENATE("R9C",'Mapa final'!$O$36),"")</f>
        <v/>
      </c>
      <c r="AH14" s="55" t="str">
        <f>IF(AND('Mapa final'!$Y$31="Muy Alta",'Mapa final'!$AA$31="Catastrófico"),CONCATENATE("R9C",'Mapa final'!$O$31),"")</f>
        <v/>
      </c>
      <c r="AI14" s="56" t="str">
        <f>IF(AND('Mapa final'!$Y$32="Muy Alta",'Mapa final'!$AA$32="Catastrófico"),CONCATENATE("R9C",'Mapa final'!$O$32),"")</f>
        <v/>
      </c>
      <c r="AJ14" s="56" t="str">
        <f>IF(AND('Mapa final'!$Y$33="Muy Alta",'Mapa final'!$AA$33="Catastrófico"),CONCATENATE("R9C",'Mapa final'!$O$33),"")</f>
        <v/>
      </c>
      <c r="AK14" s="56" t="str">
        <f>IF(AND('Mapa final'!$Y$34="Muy Alta",'Mapa final'!$AA$34="Catastrófico"),CONCATENATE("R9C",'Mapa final'!$O$34),"")</f>
        <v/>
      </c>
      <c r="AL14" s="56" t="str">
        <f>IF(AND('Mapa final'!$Y$35="Muy Alta",'Mapa final'!$AA$35="Catastrófico"),CONCATENATE("R9C",'Mapa final'!$O$35),"")</f>
        <v/>
      </c>
      <c r="AM14" s="57" t="str">
        <f>IF(AND('Mapa final'!$Y$36="Muy Alta",'Mapa final'!$AA$36="Catastrófico"),CONCATENATE("R9C",'Mapa final'!$O$36),"")</f>
        <v/>
      </c>
      <c r="AN14" s="84"/>
      <c r="AO14" s="403"/>
      <c r="AP14" s="404"/>
      <c r="AQ14" s="404"/>
      <c r="AR14" s="404"/>
      <c r="AS14" s="404"/>
      <c r="AT14" s="405"/>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x14ac:dyDescent="0.3">
      <c r="A15" s="84"/>
      <c r="B15" s="295"/>
      <c r="C15" s="295"/>
      <c r="D15" s="296"/>
      <c r="E15" s="398"/>
      <c r="F15" s="399"/>
      <c r="G15" s="399"/>
      <c r="H15" s="399"/>
      <c r="I15" s="413"/>
      <c r="J15" s="59" t="str">
        <f>IF(AND('Mapa final'!$Y$37="Muy Alta",'Mapa final'!$AA$37="Leve"),CONCATENATE("R10C",'Mapa final'!$O$37),"")</f>
        <v/>
      </c>
      <c r="K15" s="60" t="str">
        <f>IF(AND('Mapa final'!$Y$38="Muy Alta",'Mapa final'!$AA$38="Leve"),CONCATENATE("R10C",'Mapa final'!$O$38),"")</f>
        <v/>
      </c>
      <c r="L15" s="60" t="str">
        <f>IF(AND('Mapa final'!$Y$39="Muy Alta",'Mapa final'!$AA$39="Leve"),CONCATENATE("R10C",'Mapa final'!$O$39),"")</f>
        <v/>
      </c>
      <c r="M15" s="60" t="str">
        <f>IF(AND('Mapa final'!$Y$40="Muy Alta",'Mapa final'!$AA$40="Leve"),CONCATENATE("R10C",'Mapa final'!$O$40),"")</f>
        <v/>
      </c>
      <c r="N15" s="60" t="str">
        <f>IF(AND('Mapa final'!$Y$41="Muy Alta",'Mapa final'!$AA$41="Leve"),CONCATENATE("R10C",'Mapa final'!$O$41),"")</f>
        <v/>
      </c>
      <c r="O15" s="61" t="str">
        <f>IF(AND('Mapa final'!$Y$42="Muy Alta",'Mapa final'!$AA$42="Leve"),CONCATENATE("R10C",'Mapa final'!$O$42),"")</f>
        <v/>
      </c>
      <c r="P15" s="52" t="str">
        <f>IF(AND('Mapa final'!$Y$37="Muy Alta",'Mapa final'!$AA$37="Menor"),CONCATENATE("R10C",'Mapa final'!$O$37),"")</f>
        <v/>
      </c>
      <c r="Q15" s="53" t="str">
        <f>IF(AND('Mapa final'!$Y$38="Muy Alta",'Mapa final'!$AA$38="Menor"),CONCATENATE("R10C",'Mapa final'!$O$38),"")</f>
        <v/>
      </c>
      <c r="R15" s="53" t="str">
        <f>IF(AND('Mapa final'!$Y$39="Muy Alta",'Mapa final'!$AA$39="Menor"),CONCATENATE("R10C",'Mapa final'!$O$39),"")</f>
        <v/>
      </c>
      <c r="S15" s="53" t="str">
        <f>IF(AND('Mapa final'!$Y$40="Muy Alta",'Mapa final'!$AA$40="Menor"),CONCATENATE("R10C",'Mapa final'!$O$40),"")</f>
        <v/>
      </c>
      <c r="T15" s="53" t="str">
        <f>IF(AND('Mapa final'!$Y$41="Muy Alta",'Mapa final'!$AA$41="Menor"),CONCATENATE("R10C",'Mapa final'!$O$41),"")</f>
        <v/>
      </c>
      <c r="U15" s="54" t="str">
        <f>IF(AND('Mapa final'!$Y$42="Muy Alta",'Mapa final'!$AA$42="Menor"),CONCATENATE("R10C",'Mapa final'!$O$42),"")</f>
        <v/>
      </c>
      <c r="V15" s="59" t="str">
        <f>IF(AND('Mapa final'!$Y$37="Muy Alta",'Mapa final'!$AA$37="Moderado"),CONCATENATE("R10C",'Mapa final'!$O$37),"")</f>
        <v/>
      </c>
      <c r="W15" s="60" t="str">
        <f>IF(AND('Mapa final'!$Y$38="Muy Alta",'Mapa final'!$AA$38="Moderado"),CONCATENATE("R10C",'Mapa final'!$O$38),"")</f>
        <v/>
      </c>
      <c r="X15" s="60" t="str">
        <f>IF(AND('Mapa final'!$Y$39="Muy Alta",'Mapa final'!$AA$39="Moderado"),CONCATENATE("R10C",'Mapa final'!$O$39),"")</f>
        <v/>
      </c>
      <c r="Y15" s="60" t="str">
        <f>IF(AND('Mapa final'!$Y$40="Muy Alta",'Mapa final'!$AA$40="Moderado"),CONCATENATE("R10C",'Mapa final'!$O$40),"")</f>
        <v/>
      </c>
      <c r="Z15" s="60" t="str">
        <f>IF(AND('Mapa final'!$Y$41="Muy Alta",'Mapa final'!$AA$41="Moderado"),CONCATENATE("R10C",'Mapa final'!$O$41),"")</f>
        <v/>
      </c>
      <c r="AA15" s="61" t="str">
        <f>IF(AND('Mapa final'!$Y$42="Muy Alta",'Mapa final'!$AA$42="Moderado"),CONCATENATE("R10C",'Mapa final'!$O$42),"")</f>
        <v/>
      </c>
      <c r="AB15" s="52" t="str">
        <f>IF(AND('Mapa final'!$Y$37="Muy Alta",'Mapa final'!$AA$37="Mayor"),CONCATENATE("R10C",'Mapa final'!$O$37),"")</f>
        <v/>
      </c>
      <c r="AC15" s="53" t="str">
        <f>IF(AND('Mapa final'!$Y$38="Muy Alta",'Mapa final'!$AA$38="Mayor"),CONCATENATE("R10C",'Mapa final'!$O$38),"")</f>
        <v/>
      </c>
      <c r="AD15" s="53" t="str">
        <f>IF(AND('Mapa final'!$Y$39="Muy Alta",'Mapa final'!$AA$39="Mayor"),CONCATENATE("R10C",'Mapa final'!$O$39),"")</f>
        <v/>
      </c>
      <c r="AE15" s="53" t="str">
        <f>IF(AND('Mapa final'!$Y$40="Muy Alta",'Mapa final'!$AA$40="Mayor"),CONCATENATE("R10C",'Mapa final'!$O$40),"")</f>
        <v/>
      </c>
      <c r="AF15" s="53" t="str">
        <f>IF(AND('Mapa final'!$Y$41="Muy Alta",'Mapa final'!$AA$41="Mayor"),CONCATENATE("R10C",'Mapa final'!$O$41),"")</f>
        <v/>
      </c>
      <c r="AG15" s="54" t="str">
        <f>IF(AND('Mapa final'!$Y$42="Muy Alta",'Mapa final'!$AA$42="Mayor"),CONCATENATE("R10C",'Mapa final'!$O$42),"")</f>
        <v/>
      </c>
      <c r="AH15" s="62" t="str">
        <f>IF(AND('Mapa final'!$Y$37="Muy Alta",'Mapa final'!$AA$37="Catastrófico"),CONCATENATE("R10C",'Mapa final'!$O$37),"")</f>
        <v/>
      </c>
      <c r="AI15" s="63" t="str">
        <f>IF(AND('Mapa final'!$Y$38="Muy Alta",'Mapa final'!$AA$38="Catastrófico"),CONCATENATE("R10C",'Mapa final'!$O$38),"")</f>
        <v/>
      </c>
      <c r="AJ15" s="63" t="str">
        <f>IF(AND('Mapa final'!$Y$39="Muy Alta",'Mapa final'!$AA$39="Catastrófico"),CONCATENATE("R10C",'Mapa final'!$O$39),"")</f>
        <v/>
      </c>
      <c r="AK15" s="63" t="str">
        <f>IF(AND('Mapa final'!$Y$40="Muy Alta",'Mapa final'!$AA$40="Catastrófico"),CONCATENATE("R10C",'Mapa final'!$O$40),"")</f>
        <v/>
      </c>
      <c r="AL15" s="63" t="str">
        <f>IF(AND('Mapa final'!$Y$41="Muy Alta",'Mapa final'!$AA$41="Catastrófico"),CONCATENATE("R10C",'Mapa final'!$O$41),"")</f>
        <v/>
      </c>
      <c r="AM15" s="64" t="str">
        <f>IF(AND('Mapa final'!$Y$42="Muy Alta",'Mapa final'!$AA$42="Catastrófico"),CONCATENATE("R10C",'Mapa final'!$O$42),"")</f>
        <v/>
      </c>
      <c r="AN15" s="84"/>
      <c r="AO15" s="406"/>
      <c r="AP15" s="407"/>
      <c r="AQ15" s="407"/>
      <c r="AR15" s="407"/>
      <c r="AS15" s="407"/>
      <c r="AT15" s="408"/>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x14ac:dyDescent="0.25">
      <c r="A16" s="84"/>
      <c r="B16" s="295"/>
      <c r="C16" s="295"/>
      <c r="D16" s="296"/>
      <c r="E16" s="392" t="s">
        <v>115</v>
      </c>
      <c r="F16" s="393"/>
      <c r="G16" s="393"/>
      <c r="H16" s="393"/>
      <c r="I16" s="393"/>
      <c r="J16" s="65" t="str">
        <f>IF(AND('Mapa final'!$Y$10="Alta",'Mapa final'!$AA$10="Leve"),CONCATENATE("R1C",'Mapa final'!$O$10),"")</f>
        <v/>
      </c>
      <c r="K16" s="66" t="e">
        <f>IF(AND('Mapa final'!#REF!="Alta",'Mapa final'!#REF!="Leve"),CONCATENATE("R1C",'Mapa final'!#REF!),"")</f>
        <v>#REF!</v>
      </c>
      <c r="L16" s="66" t="e">
        <f>IF(AND('Mapa final'!#REF!="Alta",'Mapa final'!#REF!="Leve"),CONCATENATE("R1C",'Mapa final'!#REF!),"")</f>
        <v>#REF!</v>
      </c>
      <c r="M16" s="66" t="e">
        <f>IF(AND('Mapa final'!#REF!="Alta",'Mapa final'!#REF!="Leve"),CONCATENATE("R1C",'Mapa final'!#REF!),"")</f>
        <v>#REF!</v>
      </c>
      <c r="N16" s="66" t="e">
        <f>IF(AND('Mapa final'!#REF!="Alta",'Mapa final'!#REF!="Leve"),CONCATENATE("R1C",'Mapa final'!#REF!),"")</f>
        <v>#REF!</v>
      </c>
      <c r="O16" s="67" t="e">
        <f>IF(AND('Mapa final'!#REF!="Alta",'Mapa final'!#REF!="Leve"),CONCATENATE("R1C",'Mapa final'!#REF!),"")</f>
        <v>#REF!</v>
      </c>
      <c r="P16" s="65" t="str">
        <f>IF(AND('Mapa final'!$Y$10="Alta",'Mapa final'!$AA$10="Menor"),CONCATENATE("R1C",'Mapa final'!$O$10),"")</f>
        <v/>
      </c>
      <c r="Q16" s="66" t="e">
        <f>IF(AND('Mapa final'!#REF!="Alta",'Mapa final'!#REF!="Menor"),CONCATENATE("R1C",'Mapa final'!#REF!),"")</f>
        <v>#REF!</v>
      </c>
      <c r="R16" s="66" t="e">
        <f>IF(AND('Mapa final'!#REF!="Alta",'Mapa final'!#REF!="Menor"),CONCATENATE("R1C",'Mapa final'!#REF!),"")</f>
        <v>#REF!</v>
      </c>
      <c r="S16" s="66" t="e">
        <f>IF(AND('Mapa final'!#REF!="Alta",'Mapa final'!#REF!="Menor"),CONCATENATE("R1C",'Mapa final'!#REF!),"")</f>
        <v>#REF!</v>
      </c>
      <c r="T16" s="66" t="e">
        <f>IF(AND('Mapa final'!#REF!="Alta",'Mapa final'!#REF!="Menor"),CONCATENATE("R1C",'Mapa final'!#REF!),"")</f>
        <v>#REF!</v>
      </c>
      <c r="U16" s="67" t="e">
        <f>IF(AND('Mapa final'!#REF!="Alta",'Mapa final'!#REF!="Menor"),CONCATENATE("R1C",'Mapa final'!#REF!),"")</f>
        <v>#REF!</v>
      </c>
      <c r="V16" s="46" t="str">
        <f>IF(AND('Mapa final'!$Y$10="Alta",'Mapa final'!$AA$10="Moderado"),CONCATENATE("R1C",'Mapa final'!$O$10),"")</f>
        <v/>
      </c>
      <c r="W16" s="47" t="e">
        <f>IF(AND('Mapa final'!#REF!="Alta",'Mapa final'!#REF!="Moderado"),CONCATENATE("R1C",'Mapa final'!#REF!),"")</f>
        <v>#REF!</v>
      </c>
      <c r="X16" s="47" t="e">
        <f>IF(AND('Mapa final'!#REF!="Alta",'Mapa final'!#REF!="Moderado"),CONCATENATE("R1C",'Mapa final'!#REF!),"")</f>
        <v>#REF!</v>
      </c>
      <c r="Y16" s="47" t="e">
        <f>IF(AND('Mapa final'!#REF!="Alta",'Mapa final'!#REF!="Moderado"),CONCATENATE("R1C",'Mapa final'!#REF!),"")</f>
        <v>#REF!</v>
      </c>
      <c r="Z16" s="47" t="e">
        <f>IF(AND('Mapa final'!#REF!="Alta",'Mapa final'!#REF!="Moderado"),CONCATENATE("R1C",'Mapa final'!#REF!),"")</f>
        <v>#REF!</v>
      </c>
      <c r="AA16" s="48" t="e">
        <f>IF(AND('Mapa final'!#REF!="Alta",'Mapa final'!#REF!="Moderado"),CONCATENATE("R1C",'Mapa final'!#REF!),"")</f>
        <v>#REF!</v>
      </c>
      <c r="AB16" s="46" t="str">
        <f>IF(AND('Mapa final'!$Y$10="Alta",'Mapa final'!$AA$10="Mayor"),CONCATENATE("R1C",'Mapa final'!$O$10),"")</f>
        <v/>
      </c>
      <c r="AC16" s="47" t="e">
        <f>IF(AND('Mapa final'!#REF!="Alta",'Mapa final'!#REF!="Mayor"),CONCATENATE("R1C",'Mapa final'!#REF!),"")</f>
        <v>#REF!</v>
      </c>
      <c r="AD16" s="47" t="e">
        <f>IF(AND('Mapa final'!#REF!="Alta",'Mapa final'!#REF!="Mayor"),CONCATENATE("R1C",'Mapa final'!#REF!),"")</f>
        <v>#REF!</v>
      </c>
      <c r="AE16" s="47" t="e">
        <f>IF(AND('Mapa final'!#REF!="Alta",'Mapa final'!#REF!="Mayor"),CONCATENATE("R1C",'Mapa final'!#REF!),"")</f>
        <v>#REF!</v>
      </c>
      <c r="AF16" s="47" t="e">
        <f>IF(AND('Mapa final'!#REF!="Alta",'Mapa final'!#REF!="Mayor"),CONCATENATE("R1C",'Mapa final'!#REF!),"")</f>
        <v>#REF!</v>
      </c>
      <c r="AG16" s="48" t="e">
        <f>IF(AND('Mapa final'!#REF!="Alta",'Mapa final'!#REF!="Mayor"),CONCATENATE("R1C",'Mapa final'!#REF!),"")</f>
        <v>#REF!</v>
      </c>
      <c r="AH16" s="49" t="str">
        <f>IF(AND('Mapa final'!$Y$10="Alta",'Mapa final'!$AA$10="Catastrófico"),CONCATENATE("R1C",'Mapa final'!$O$10),"")</f>
        <v/>
      </c>
      <c r="AI16" s="50" t="e">
        <f>IF(AND('Mapa final'!#REF!="Alta",'Mapa final'!#REF!="Catastrófico"),CONCATENATE("R1C",'Mapa final'!#REF!),"")</f>
        <v>#REF!</v>
      </c>
      <c r="AJ16" s="50" t="e">
        <f>IF(AND('Mapa final'!#REF!="Alta",'Mapa final'!#REF!="Catastrófico"),CONCATENATE("R1C",'Mapa final'!#REF!),"")</f>
        <v>#REF!</v>
      </c>
      <c r="AK16" s="50" t="e">
        <f>IF(AND('Mapa final'!#REF!="Alta",'Mapa final'!#REF!="Catastrófico"),CONCATENATE("R1C",'Mapa final'!#REF!),"")</f>
        <v>#REF!</v>
      </c>
      <c r="AL16" s="50" t="e">
        <f>IF(AND('Mapa final'!#REF!="Alta",'Mapa final'!#REF!="Catastrófico"),CONCATENATE("R1C",'Mapa final'!#REF!),"")</f>
        <v>#REF!</v>
      </c>
      <c r="AM16" s="51" t="e">
        <f>IF(AND('Mapa final'!#REF!="Alta",'Mapa final'!#REF!="Catastrófico"),CONCATENATE("R1C",'Mapa final'!#REF!),"")</f>
        <v>#REF!</v>
      </c>
      <c r="AN16" s="84"/>
      <c r="AO16" s="383" t="s">
        <v>80</v>
      </c>
      <c r="AP16" s="384"/>
      <c r="AQ16" s="384"/>
      <c r="AR16" s="384"/>
      <c r="AS16" s="384"/>
      <c r="AT16" s="385"/>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x14ac:dyDescent="0.25">
      <c r="A17" s="84"/>
      <c r="B17" s="295"/>
      <c r="C17" s="295"/>
      <c r="D17" s="296"/>
      <c r="E17" s="394"/>
      <c r="F17" s="395"/>
      <c r="G17" s="395"/>
      <c r="H17" s="395"/>
      <c r="I17" s="395"/>
      <c r="J17" s="68" t="e">
        <f>IF(AND('Mapa final'!#REF!="Alta",'Mapa final'!#REF!="Leve"),CONCATENATE("R2C",'Mapa final'!#REF!),"")</f>
        <v>#REF!</v>
      </c>
      <c r="K17" s="69" t="e">
        <f>IF(AND('Mapa final'!#REF!="Alta",'Mapa final'!#REF!="Leve"),CONCATENATE("R2C",'Mapa final'!#REF!),"")</f>
        <v>#REF!</v>
      </c>
      <c r="L17" s="69" t="e">
        <f>IF(AND('Mapa final'!#REF!="Alta",'Mapa final'!#REF!="Leve"),CONCATENATE("R2C",'Mapa final'!#REF!),"")</f>
        <v>#REF!</v>
      </c>
      <c r="M17" s="69" t="e">
        <f>IF(AND('Mapa final'!#REF!="Alta",'Mapa final'!#REF!="Leve"),CONCATENATE("R2C",'Mapa final'!#REF!),"")</f>
        <v>#REF!</v>
      </c>
      <c r="N17" s="69" t="e">
        <f>IF(AND('Mapa final'!#REF!="Alta",'Mapa final'!#REF!="Leve"),CONCATENATE("R2C",'Mapa final'!#REF!),"")</f>
        <v>#REF!</v>
      </c>
      <c r="O17" s="70" t="e">
        <f>IF(AND('Mapa final'!#REF!="Alta",'Mapa final'!#REF!="Leve"),CONCATENATE("R2C",'Mapa final'!#REF!),"")</f>
        <v>#REF!</v>
      </c>
      <c r="P17" s="68" t="e">
        <f>IF(AND('Mapa final'!#REF!="Alta",'Mapa final'!#REF!="Menor"),CONCATENATE("R2C",'Mapa final'!#REF!),"")</f>
        <v>#REF!</v>
      </c>
      <c r="Q17" s="69" t="e">
        <f>IF(AND('Mapa final'!#REF!="Alta",'Mapa final'!#REF!="Menor"),CONCATENATE("R2C",'Mapa final'!#REF!),"")</f>
        <v>#REF!</v>
      </c>
      <c r="R17" s="69" t="e">
        <f>IF(AND('Mapa final'!#REF!="Alta",'Mapa final'!#REF!="Menor"),CONCATENATE("R2C",'Mapa final'!#REF!),"")</f>
        <v>#REF!</v>
      </c>
      <c r="S17" s="69" t="e">
        <f>IF(AND('Mapa final'!#REF!="Alta",'Mapa final'!#REF!="Menor"),CONCATENATE("R2C",'Mapa final'!#REF!),"")</f>
        <v>#REF!</v>
      </c>
      <c r="T17" s="69" t="e">
        <f>IF(AND('Mapa final'!#REF!="Alta",'Mapa final'!#REF!="Menor"),CONCATENATE("R2C",'Mapa final'!#REF!),"")</f>
        <v>#REF!</v>
      </c>
      <c r="U17" s="70" t="e">
        <f>IF(AND('Mapa final'!#REF!="Alta",'Mapa final'!#REF!="Menor"),CONCATENATE("R2C",'Mapa final'!#REF!),"")</f>
        <v>#REF!</v>
      </c>
      <c r="V17" s="52" t="e">
        <f>IF(AND('Mapa final'!#REF!="Alta",'Mapa final'!#REF!="Moderado"),CONCATENATE("R2C",'Mapa final'!#REF!),"")</f>
        <v>#REF!</v>
      </c>
      <c r="W17" s="53" t="e">
        <f>IF(AND('Mapa final'!#REF!="Alta",'Mapa final'!#REF!="Moderado"),CONCATENATE("R2C",'Mapa final'!#REF!),"")</f>
        <v>#REF!</v>
      </c>
      <c r="X17" s="53" t="e">
        <f>IF(AND('Mapa final'!#REF!="Alta",'Mapa final'!#REF!="Moderado"),CONCATENATE("R2C",'Mapa final'!#REF!),"")</f>
        <v>#REF!</v>
      </c>
      <c r="Y17" s="53" t="e">
        <f>IF(AND('Mapa final'!#REF!="Alta",'Mapa final'!#REF!="Moderado"),CONCATENATE("R2C",'Mapa final'!#REF!),"")</f>
        <v>#REF!</v>
      </c>
      <c r="Z17" s="53" t="e">
        <f>IF(AND('Mapa final'!#REF!="Alta",'Mapa final'!#REF!="Moderado"),CONCATENATE("R2C",'Mapa final'!#REF!),"")</f>
        <v>#REF!</v>
      </c>
      <c r="AA17" s="54" t="e">
        <f>IF(AND('Mapa final'!#REF!="Alta",'Mapa final'!#REF!="Moderado"),CONCATENATE("R2C",'Mapa final'!#REF!),"")</f>
        <v>#REF!</v>
      </c>
      <c r="AB17" s="52" t="e">
        <f>IF(AND('Mapa final'!#REF!="Alta",'Mapa final'!#REF!="Mayor"),CONCATENATE("R2C",'Mapa final'!#REF!),"")</f>
        <v>#REF!</v>
      </c>
      <c r="AC17" s="53" t="e">
        <f>IF(AND('Mapa final'!#REF!="Alta",'Mapa final'!#REF!="Mayor"),CONCATENATE("R2C",'Mapa final'!#REF!),"")</f>
        <v>#REF!</v>
      </c>
      <c r="AD17" s="53" t="e">
        <f>IF(AND('Mapa final'!#REF!="Alta",'Mapa final'!#REF!="Mayor"),CONCATENATE("R2C",'Mapa final'!#REF!),"")</f>
        <v>#REF!</v>
      </c>
      <c r="AE17" s="53" t="e">
        <f>IF(AND('Mapa final'!#REF!="Alta",'Mapa final'!#REF!="Mayor"),CONCATENATE("R2C",'Mapa final'!#REF!),"")</f>
        <v>#REF!</v>
      </c>
      <c r="AF17" s="53" t="e">
        <f>IF(AND('Mapa final'!#REF!="Alta",'Mapa final'!#REF!="Mayor"),CONCATENATE("R2C",'Mapa final'!#REF!),"")</f>
        <v>#REF!</v>
      </c>
      <c r="AG17" s="54" t="e">
        <f>IF(AND('Mapa final'!#REF!="Alta",'Mapa final'!#REF!="Mayor"),CONCATENATE("R2C",'Mapa final'!#REF!),"")</f>
        <v>#REF!</v>
      </c>
      <c r="AH17" s="55" t="e">
        <f>IF(AND('Mapa final'!#REF!="Alta",'Mapa final'!#REF!="Catastrófico"),CONCATENATE("R2C",'Mapa final'!#REF!),"")</f>
        <v>#REF!</v>
      </c>
      <c r="AI17" s="56" t="e">
        <f>IF(AND('Mapa final'!#REF!="Alta",'Mapa final'!#REF!="Catastrófico"),CONCATENATE("R2C",'Mapa final'!#REF!),"")</f>
        <v>#REF!</v>
      </c>
      <c r="AJ17" s="56" t="e">
        <f>IF(AND('Mapa final'!#REF!="Alta",'Mapa final'!#REF!="Catastrófico"),CONCATENATE("R2C",'Mapa final'!#REF!),"")</f>
        <v>#REF!</v>
      </c>
      <c r="AK17" s="56" t="e">
        <f>IF(AND('Mapa final'!#REF!="Alta",'Mapa final'!#REF!="Catastrófico"),CONCATENATE("R2C",'Mapa final'!#REF!),"")</f>
        <v>#REF!</v>
      </c>
      <c r="AL17" s="56" t="e">
        <f>IF(AND('Mapa final'!#REF!="Alta",'Mapa final'!#REF!="Catastrófico"),CONCATENATE("R2C",'Mapa final'!#REF!),"")</f>
        <v>#REF!</v>
      </c>
      <c r="AM17" s="57" t="e">
        <f>IF(AND('Mapa final'!#REF!="Alta",'Mapa final'!#REF!="Catastrófico"),CONCATENATE("R2C",'Mapa final'!#REF!),"")</f>
        <v>#REF!</v>
      </c>
      <c r="AN17" s="84"/>
      <c r="AO17" s="386"/>
      <c r="AP17" s="387"/>
      <c r="AQ17" s="387"/>
      <c r="AR17" s="387"/>
      <c r="AS17" s="387"/>
      <c r="AT17" s="388"/>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x14ac:dyDescent="0.25">
      <c r="A18" s="84"/>
      <c r="B18" s="295"/>
      <c r="C18" s="295"/>
      <c r="D18" s="296"/>
      <c r="E18" s="396"/>
      <c r="F18" s="397"/>
      <c r="G18" s="397"/>
      <c r="H18" s="397"/>
      <c r="I18" s="395"/>
      <c r="J18" s="68" t="e">
        <f>IF(AND('Mapa final'!#REF!="Alta",'Mapa final'!#REF!="Leve"),CONCATENATE("R3C",'Mapa final'!#REF!),"")</f>
        <v>#REF!</v>
      </c>
      <c r="K18" s="69" t="str">
        <f>IF(AND('Mapa final'!$Y$11="Alta",'Mapa final'!$AA$11="Leve"),CONCATENATE("R3C",'Mapa final'!$O$11),"")</f>
        <v/>
      </c>
      <c r="L18" s="69" t="e">
        <f>IF(AND('Mapa final'!#REF!="Alta",'Mapa final'!#REF!="Leve"),CONCATENATE("R3C",'Mapa final'!#REF!),"")</f>
        <v>#REF!</v>
      </c>
      <c r="M18" s="69" t="e">
        <f>IF(AND('Mapa final'!#REF!="Alta",'Mapa final'!#REF!="Leve"),CONCATENATE("R3C",'Mapa final'!#REF!),"")</f>
        <v>#REF!</v>
      </c>
      <c r="N18" s="69" t="e">
        <f>IF(AND('Mapa final'!#REF!="Alta",'Mapa final'!#REF!="Leve"),CONCATENATE("R3C",'Mapa final'!#REF!),"")</f>
        <v>#REF!</v>
      </c>
      <c r="O18" s="70" t="e">
        <f>IF(AND('Mapa final'!#REF!="Alta",'Mapa final'!#REF!="Leve"),CONCATENATE("R3C",'Mapa final'!#REF!),"")</f>
        <v>#REF!</v>
      </c>
      <c r="P18" s="68" t="e">
        <f>IF(AND('Mapa final'!#REF!="Alta",'Mapa final'!#REF!="Menor"),CONCATENATE("R3C",'Mapa final'!#REF!),"")</f>
        <v>#REF!</v>
      </c>
      <c r="Q18" s="69" t="str">
        <f>IF(AND('Mapa final'!$Y$11="Alta",'Mapa final'!$AA$11="Menor"),CONCATENATE("R3C",'Mapa final'!$O$11),"")</f>
        <v/>
      </c>
      <c r="R18" s="69" t="e">
        <f>IF(AND('Mapa final'!#REF!="Alta",'Mapa final'!#REF!="Menor"),CONCATENATE("R3C",'Mapa final'!#REF!),"")</f>
        <v>#REF!</v>
      </c>
      <c r="S18" s="69" t="e">
        <f>IF(AND('Mapa final'!#REF!="Alta",'Mapa final'!#REF!="Menor"),CONCATENATE("R3C",'Mapa final'!#REF!),"")</f>
        <v>#REF!</v>
      </c>
      <c r="T18" s="69" t="e">
        <f>IF(AND('Mapa final'!#REF!="Alta",'Mapa final'!#REF!="Menor"),CONCATENATE("R3C",'Mapa final'!#REF!),"")</f>
        <v>#REF!</v>
      </c>
      <c r="U18" s="70" t="e">
        <f>IF(AND('Mapa final'!#REF!="Alta",'Mapa final'!#REF!="Menor"),CONCATENATE("R3C",'Mapa final'!#REF!),"")</f>
        <v>#REF!</v>
      </c>
      <c r="V18" s="52" t="e">
        <f>IF(AND('Mapa final'!#REF!="Alta",'Mapa final'!#REF!="Moderado"),CONCATENATE("R3C",'Mapa final'!#REF!),"")</f>
        <v>#REF!</v>
      </c>
      <c r="W18" s="53" t="str">
        <f>IF(AND('Mapa final'!$Y$11="Alta",'Mapa final'!$AA$11="Moderado"),CONCATENATE("R3C",'Mapa final'!$O$11),"")</f>
        <v/>
      </c>
      <c r="X18" s="53" t="e">
        <f>IF(AND('Mapa final'!#REF!="Alta",'Mapa final'!#REF!="Moderado"),CONCATENATE("R3C",'Mapa final'!#REF!),"")</f>
        <v>#REF!</v>
      </c>
      <c r="Y18" s="53" t="e">
        <f>IF(AND('Mapa final'!#REF!="Alta",'Mapa final'!#REF!="Moderado"),CONCATENATE("R3C",'Mapa final'!#REF!),"")</f>
        <v>#REF!</v>
      </c>
      <c r="Z18" s="53" t="e">
        <f>IF(AND('Mapa final'!#REF!="Alta",'Mapa final'!#REF!="Moderado"),CONCATENATE("R3C",'Mapa final'!#REF!),"")</f>
        <v>#REF!</v>
      </c>
      <c r="AA18" s="54" t="e">
        <f>IF(AND('Mapa final'!#REF!="Alta",'Mapa final'!#REF!="Moderado"),CONCATENATE("R3C",'Mapa final'!#REF!),"")</f>
        <v>#REF!</v>
      </c>
      <c r="AB18" s="52" t="e">
        <f>IF(AND('Mapa final'!#REF!="Alta",'Mapa final'!#REF!="Mayor"),CONCATENATE("R3C",'Mapa final'!#REF!),"")</f>
        <v>#REF!</v>
      </c>
      <c r="AC18" s="53" t="str">
        <f>IF(AND('Mapa final'!$Y$11="Alta",'Mapa final'!$AA$11="Mayor"),CONCATENATE("R3C",'Mapa final'!$O$11),"")</f>
        <v/>
      </c>
      <c r="AD18" s="53" t="e">
        <f>IF(AND('Mapa final'!#REF!="Alta",'Mapa final'!#REF!="Mayor"),CONCATENATE("R3C",'Mapa final'!#REF!),"")</f>
        <v>#REF!</v>
      </c>
      <c r="AE18" s="53" t="e">
        <f>IF(AND('Mapa final'!#REF!="Alta",'Mapa final'!#REF!="Mayor"),CONCATENATE("R3C",'Mapa final'!#REF!),"")</f>
        <v>#REF!</v>
      </c>
      <c r="AF18" s="53" t="e">
        <f>IF(AND('Mapa final'!#REF!="Alta",'Mapa final'!#REF!="Mayor"),CONCATENATE("R3C",'Mapa final'!#REF!),"")</f>
        <v>#REF!</v>
      </c>
      <c r="AG18" s="54" t="e">
        <f>IF(AND('Mapa final'!#REF!="Alta",'Mapa final'!#REF!="Mayor"),CONCATENATE("R3C",'Mapa final'!#REF!),"")</f>
        <v>#REF!</v>
      </c>
      <c r="AH18" s="55" t="e">
        <f>IF(AND('Mapa final'!#REF!="Alta",'Mapa final'!#REF!="Catastrófico"),CONCATENATE("R3C",'Mapa final'!#REF!),"")</f>
        <v>#REF!</v>
      </c>
      <c r="AI18" s="56" t="str">
        <f>IF(AND('Mapa final'!$Y$11="Alta",'Mapa final'!$AA$11="Catastrófico"),CONCATENATE("R3C",'Mapa final'!$O$11),"")</f>
        <v/>
      </c>
      <c r="AJ18" s="56" t="e">
        <f>IF(AND('Mapa final'!#REF!="Alta",'Mapa final'!#REF!="Catastrófico"),CONCATENATE("R3C",'Mapa final'!#REF!),"")</f>
        <v>#REF!</v>
      </c>
      <c r="AK18" s="56" t="e">
        <f>IF(AND('Mapa final'!#REF!="Alta",'Mapa final'!#REF!="Catastrófico"),CONCATENATE("R3C",'Mapa final'!#REF!),"")</f>
        <v>#REF!</v>
      </c>
      <c r="AL18" s="56" t="e">
        <f>IF(AND('Mapa final'!#REF!="Alta",'Mapa final'!#REF!="Catastrófico"),CONCATENATE("R3C",'Mapa final'!#REF!),"")</f>
        <v>#REF!</v>
      </c>
      <c r="AM18" s="57" t="e">
        <f>IF(AND('Mapa final'!#REF!="Alta",'Mapa final'!#REF!="Catastrófico"),CONCATENATE("R3C",'Mapa final'!#REF!),"")</f>
        <v>#REF!</v>
      </c>
      <c r="AN18" s="84"/>
      <c r="AO18" s="386"/>
      <c r="AP18" s="387"/>
      <c r="AQ18" s="387"/>
      <c r="AR18" s="387"/>
      <c r="AS18" s="387"/>
      <c r="AT18" s="388"/>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x14ac:dyDescent="0.25">
      <c r="A19" s="84"/>
      <c r="B19" s="295"/>
      <c r="C19" s="295"/>
      <c r="D19" s="296"/>
      <c r="E19" s="396"/>
      <c r="F19" s="397"/>
      <c r="G19" s="397"/>
      <c r="H19" s="397"/>
      <c r="I19" s="395"/>
      <c r="J19" s="68" t="str">
        <f>IF(AND('Mapa final'!$Y$12="Alta",'Mapa final'!$AA$12="Leve"),CONCATENATE("R4C",'Mapa final'!$O$12),"")</f>
        <v/>
      </c>
      <c r="K19" s="69" t="e">
        <f>IF(AND('Mapa final'!#REF!="Alta",'Mapa final'!#REF!="Leve"),CONCATENATE("R4C",'Mapa final'!#REF!),"")</f>
        <v>#REF!</v>
      </c>
      <c r="L19" s="69" t="e">
        <f>IF(AND('Mapa final'!#REF!="Alta",'Mapa final'!#REF!="Leve"),CONCATENATE("R4C",'Mapa final'!#REF!),"")</f>
        <v>#REF!</v>
      </c>
      <c r="M19" s="69" t="e">
        <f>IF(AND('Mapa final'!#REF!="Alta",'Mapa final'!#REF!="Leve"),CONCATENATE("R4C",'Mapa final'!#REF!),"")</f>
        <v>#REF!</v>
      </c>
      <c r="N19" s="69" t="e">
        <f>IF(AND('Mapa final'!#REF!="Alta",'Mapa final'!#REF!="Leve"),CONCATENATE("R4C",'Mapa final'!#REF!),"")</f>
        <v>#REF!</v>
      </c>
      <c r="O19" s="70" t="e">
        <f>IF(AND('Mapa final'!#REF!="Alta",'Mapa final'!#REF!="Leve"),CONCATENATE("R4C",'Mapa final'!#REF!),"")</f>
        <v>#REF!</v>
      </c>
      <c r="P19" s="68" t="str">
        <f>IF(AND('Mapa final'!$Y$12="Alta",'Mapa final'!$AA$12="Menor"),CONCATENATE("R4C",'Mapa final'!$O$12),"")</f>
        <v/>
      </c>
      <c r="Q19" s="69" t="e">
        <f>IF(AND('Mapa final'!#REF!="Alta",'Mapa final'!#REF!="Menor"),CONCATENATE("R4C",'Mapa final'!#REF!),"")</f>
        <v>#REF!</v>
      </c>
      <c r="R19" s="69" t="e">
        <f>IF(AND('Mapa final'!#REF!="Alta",'Mapa final'!#REF!="Menor"),CONCATENATE("R4C",'Mapa final'!#REF!),"")</f>
        <v>#REF!</v>
      </c>
      <c r="S19" s="69" t="e">
        <f>IF(AND('Mapa final'!#REF!="Alta",'Mapa final'!#REF!="Menor"),CONCATENATE("R4C",'Mapa final'!#REF!),"")</f>
        <v>#REF!</v>
      </c>
      <c r="T19" s="69" t="e">
        <f>IF(AND('Mapa final'!#REF!="Alta",'Mapa final'!#REF!="Menor"),CONCATENATE("R4C",'Mapa final'!#REF!),"")</f>
        <v>#REF!</v>
      </c>
      <c r="U19" s="70" t="e">
        <f>IF(AND('Mapa final'!#REF!="Alta",'Mapa final'!#REF!="Menor"),CONCATENATE("R4C",'Mapa final'!#REF!),"")</f>
        <v>#REF!</v>
      </c>
      <c r="V19" s="52" t="str">
        <f>IF(AND('Mapa final'!$Y$12="Alta",'Mapa final'!$AA$12="Moderado"),CONCATENATE("R4C",'Mapa final'!$O$12),"")</f>
        <v/>
      </c>
      <c r="W19" s="53" t="e">
        <f>IF(AND('Mapa final'!#REF!="Alta",'Mapa final'!#REF!="Moderado"),CONCATENATE("R4C",'Mapa final'!#REF!),"")</f>
        <v>#REF!</v>
      </c>
      <c r="X19" s="58" t="e">
        <f>IF(AND('Mapa final'!#REF!="Alta",'Mapa final'!#REF!="Moderado"),CONCATENATE("R4C",'Mapa final'!#REF!),"")</f>
        <v>#REF!</v>
      </c>
      <c r="Y19" s="58" t="e">
        <f>IF(AND('Mapa final'!#REF!="Alta",'Mapa final'!#REF!="Moderado"),CONCATENATE("R4C",'Mapa final'!#REF!),"")</f>
        <v>#REF!</v>
      </c>
      <c r="Z19" s="58" t="e">
        <f>IF(AND('Mapa final'!#REF!="Alta",'Mapa final'!#REF!="Moderado"),CONCATENATE("R4C",'Mapa final'!#REF!),"")</f>
        <v>#REF!</v>
      </c>
      <c r="AA19" s="54" t="e">
        <f>IF(AND('Mapa final'!#REF!="Alta",'Mapa final'!#REF!="Moderado"),CONCATENATE("R4C",'Mapa final'!#REF!),"")</f>
        <v>#REF!</v>
      </c>
      <c r="AB19" s="52" t="str">
        <f>IF(AND('Mapa final'!$Y$12="Alta",'Mapa final'!$AA$12="Mayor"),CONCATENATE("R4C",'Mapa final'!$O$12),"")</f>
        <v/>
      </c>
      <c r="AC19" s="53" t="e">
        <f>IF(AND('Mapa final'!#REF!="Alta",'Mapa final'!#REF!="Mayor"),CONCATENATE("R4C",'Mapa final'!#REF!),"")</f>
        <v>#REF!</v>
      </c>
      <c r="AD19" s="58" t="e">
        <f>IF(AND('Mapa final'!#REF!="Alta",'Mapa final'!#REF!="Mayor"),CONCATENATE("R4C",'Mapa final'!#REF!),"")</f>
        <v>#REF!</v>
      </c>
      <c r="AE19" s="58" t="e">
        <f>IF(AND('Mapa final'!#REF!="Alta",'Mapa final'!#REF!="Mayor"),CONCATENATE("R4C",'Mapa final'!#REF!),"")</f>
        <v>#REF!</v>
      </c>
      <c r="AF19" s="58" t="e">
        <f>IF(AND('Mapa final'!#REF!="Alta",'Mapa final'!#REF!="Mayor"),CONCATENATE("R4C",'Mapa final'!#REF!),"")</f>
        <v>#REF!</v>
      </c>
      <c r="AG19" s="54" t="e">
        <f>IF(AND('Mapa final'!#REF!="Alta",'Mapa final'!#REF!="Mayor"),CONCATENATE("R4C",'Mapa final'!#REF!),"")</f>
        <v>#REF!</v>
      </c>
      <c r="AH19" s="55" t="str">
        <f>IF(AND('Mapa final'!$Y$12="Alta",'Mapa final'!$AA$12="Catastrófico"),CONCATENATE("R4C",'Mapa final'!$O$12),"")</f>
        <v/>
      </c>
      <c r="AI19" s="56" t="e">
        <f>IF(AND('Mapa final'!#REF!="Alta",'Mapa final'!#REF!="Catastrófico"),CONCATENATE("R4C",'Mapa final'!#REF!),"")</f>
        <v>#REF!</v>
      </c>
      <c r="AJ19" s="56" t="e">
        <f>IF(AND('Mapa final'!#REF!="Alta",'Mapa final'!#REF!="Catastrófico"),CONCATENATE("R4C",'Mapa final'!#REF!),"")</f>
        <v>#REF!</v>
      </c>
      <c r="AK19" s="56" t="e">
        <f>IF(AND('Mapa final'!#REF!="Alta",'Mapa final'!#REF!="Catastrófico"),CONCATENATE("R4C",'Mapa final'!#REF!),"")</f>
        <v>#REF!</v>
      </c>
      <c r="AL19" s="56" t="e">
        <f>IF(AND('Mapa final'!#REF!="Alta",'Mapa final'!#REF!="Catastrófico"),CONCATENATE("R4C",'Mapa final'!#REF!),"")</f>
        <v>#REF!</v>
      </c>
      <c r="AM19" s="57" t="e">
        <f>IF(AND('Mapa final'!#REF!="Alta",'Mapa final'!#REF!="Catastrófico"),CONCATENATE("R4C",'Mapa final'!#REF!),"")</f>
        <v>#REF!</v>
      </c>
      <c r="AN19" s="84"/>
      <c r="AO19" s="386"/>
      <c r="AP19" s="387"/>
      <c r="AQ19" s="387"/>
      <c r="AR19" s="387"/>
      <c r="AS19" s="387"/>
      <c r="AT19" s="388"/>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x14ac:dyDescent="0.25">
      <c r="A20" s="84"/>
      <c r="B20" s="295"/>
      <c r="C20" s="295"/>
      <c r="D20" s="296"/>
      <c r="E20" s="396"/>
      <c r="F20" s="397"/>
      <c r="G20" s="397"/>
      <c r="H20" s="397"/>
      <c r="I20" s="395"/>
      <c r="J20" s="68" t="e">
        <f>IF(AND('Mapa final'!#REF!="Alta",'Mapa final'!#REF!="Leve"),CONCATENATE("R5C",'Mapa final'!#REF!),"")</f>
        <v>#REF!</v>
      </c>
      <c r="K20" s="69" t="e">
        <f>IF(AND('Mapa final'!#REF!="Alta",'Mapa final'!#REF!="Leve"),CONCATENATE("R5C",'Mapa final'!#REF!),"")</f>
        <v>#REF!</v>
      </c>
      <c r="L20" s="69" t="e">
        <f>IF(AND('Mapa final'!#REF!="Alta",'Mapa final'!#REF!="Leve"),CONCATENATE("R5C",'Mapa final'!#REF!),"")</f>
        <v>#REF!</v>
      </c>
      <c r="M20" s="69" t="e">
        <f>IF(AND('Mapa final'!#REF!="Alta",'Mapa final'!#REF!="Leve"),CONCATENATE("R5C",'Mapa final'!#REF!),"")</f>
        <v>#REF!</v>
      </c>
      <c r="N20" s="69" t="e">
        <f>IF(AND('Mapa final'!#REF!="Alta",'Mapa final'!#REF!="Leve"),CONCATENATE("R5C",'Mapa final'!#REF!),"")</f>
        <v>#REF!</v>
      </c>
      <c r="O20" s="70" t="e">
        <f>IF(AND('Mapa final'!#REF!="Alta",'Mapa final'!#REF!="Leve"),CONCATENATE("R5C",'Mapa final'!#REF!),"")</f>
        <v>#REF!</v>
      </c>
      <c r="P20" s="68" t="e">
        <f>IF(AND('Mapa final'!#REF!="Alta",'Mapa final'!#REF!="Menor"),CONCATENATE("R5C",'Mapa final'!#REF!),"")</f>
        <v>#REF!</v>
      </c>
      <c r="Q20" s="69" t="e">
        <f>IF(AND('Mapa final'!#REF!="Alta",'Mapa final'!#REF!="Menor"),CONCATENATE("R5C",'Mapa final'!#REF!),"")</f>
        <v>#REF!</v>
      </c>
      <c r="R20" s="69" t="e">
        <f>IF(AND('Mapa final'!#REF!="Alta",'Mapa final'!#REF!="Menor"),CONCATENATE("R5C",'Mapa final'!#REF!),"")</f>
        <v>#REF!</v>
      </c>
      <c r="S20" s="69" t="e">
        <f>IF(AND('Mapa final'!#REF!="Alta",'Mapa final'!#REF!="Menor"),CONCATENATE("R5C",'Mapa final'!#REF!),"")</f>
        <v>#REF!</v>
      </c>
      <c r="T20" s="69" t="e">
        <f>IF(AND('Mapa final'!#REF!="Alta",'Mapa final'!#REF!="Menor"),CONCATENATE("R5C",'Mapa final'!#REF!),"")</f>
        <v>#REF!</v>
      </c>
      <c r="U20" s="70" t="e">
        <f>IF(AND('Mapa final'!#REF!="Alta",'Mapa final'!#REF!="Menor"),CONCATENATE("R5C",'Mapa final'!#REF!),"")</f>
        <v>#REF!</v>
      </c>
      <c r="V20" s="52" t="e">
        <f>IF(AND('Mapa final'!#REF!="Alta",'Mapa final'!#REF!="Moderado"),CONCATENATE("R5C",'Mapa final'!#REF!),"")</f>
        <v>#REF!</v>
      </c>
      <c r="W20" s="53" t="e">
        <f>IF(AND('Mapa final'!#REF!="Alta",'Mapa final'!#REF!="Moderado"),CONCATENATE("R5C",'Mapa final'!#REF!),"")</f>
        <v>#REF!</v>
      </c>
      <c r="X20" s="58" t="e">
        <f>IF(AND('Mapa final'!#REF!="Alta",'Mapa final'!#REF!="Moderado"),CONCATENATE("R5C",'Mapa final'!#REF!),"")</f>
        <v>#REF!</v>
      </c>
      <c r="Y20" s="58" t="e">
        <f>IF(AND('Mapa final'!#REF!="Alta",'Mapa final'!#REF!="Moderado"),CONCATENATE("R5C",'Mapa final'!#REF!),"")</f>
        <v>#REF!</v>
      </c>
      <c r="Z20" s="58" t="e">
        <f>IF(AND('Mapa final'!#REF!="Alta",'Mapa final'!#REF!="Moderado"),CONCATENATE("R5C",'Mapa final'!#REF!),"")</f>
        <v>#REF!</v>
      </c>
      <c r="AA20" s="54" t="e">
        <f>IF(AND('Mapa final'!#REF!="Alta",'Mapa final'!#REF!="Moderado"),CONCATENATE("R5C",'Mapa final'!#REF!),"")</f>
        <v>#REF!</v>
      </c>
      <c r="AB20" s="52" t="e">
        <f>IF(AND('Mapa final'!#REF!="Alta",'Mapa final'!#REF!="Mayor"),CONCATENATE("R5C",'Mapa final'!#REF!),"")</f>
        <v>#REF!</v>
      </c>
      <c r="AC20" s="53" t="e">
        <f>IF(AND('Mapa final'!#REF!="Alta",'Mapa final'!#REF!="Mayor"),CONCATENATE("R5C",'Mapa final'!#REF!),"")</f>
        <v>#REF!</v>
      </c>
      <c r="AD20" s="58" t="e">
        <f>IF(AND('Mapa final'!#REF!="Alta",'Mapa final'!#REF!="Mayor"),CONCATENATE("R5C",'Mapa final'!#REF!),"")</f>
        <v>#REF!</v>
      </c>
      <c r="AE20" s="58" t="e">
        <f>IF(AND('Mapa final'!#REF!="Alta",'Mapa final'!#REF!="Mayor"),CONCATENATE("R5C",'Mapa final'!#REF!),"")</f>
        <v>#REF!</v>
      </c>
      <c r="AF20" s="58" t="e">
        <f>IF(AND('Mapa final'!#REF!="Alta",'Mapa final'!#REF!="Mayor"),CONCATENATE("R5C",'Mapa final'!#REF!),"")</f>
        <v>#REF!</v>
      </c>
      <c r="AG20" s="54" t="e">
        <f>IF(AND('Mapa final'!#REF!="Alta",'Mapa final'!#REF!="Mayor"),CONCATENATE("R5C",'Mapa final'!#REF!),"")</f>
        <v>#REF!</v>
      </c>
      <c r="AH20" s="55" t="e">
        <f>IF(AND('Mapa final'!#REF!="Alta",'Mapa final'!#REF!="Catastrófico"),CONCATENATE("R5C",'Mapa final'!#REF!),"")</f>
        <v>#REF!</v>
      </c>
      <c r="AI20" s="56" t="e">
        <f>IF(AND('Mapa final'!#REF!="Alta",'Mapa final'!#REF!="Catastrófico"),CONCATENATE("R5C",'Mapa final'!#REF!),"")</f>
        <v>#REF!</v>
      </c>
      <c r="AJ20" s="56" t="e">
        <f>IF(AND('Mapa final'!#REF!="Alta",'Mapa final'!#REF!="Catastrófico"),CONCATENATE("R5C",'Mapa final'!#REF!),"")</f>
        <v>#REF!</v>
      </c>
      <c r="AK20" s="56" t="e">
        <f>IF(AND('Mapa final'!#REF!="Alta",'Mapa final'!#REF!="Catastrófico"),CONCATENATE("R5C",'Mapa final'!#REF!),"")</f>
        <v>#REF!</v>
      </c>
      <c r="AL20" s="56" t="e">
        <f>IF(AND('Mapa final'!#REF!="Alta",'Mapa final'!#REF!="Catastrófico"),CONCATENATE("R5C",'Mapa final'!#REF!),"")</f>
        <v>#REF!</v>
      </c>
      <c r="AM20" s="57" t="e">
        <f>IF(AND('Mapa final'!#REF!="Alta",'Mapa final'!#REF!="Catastrófico"),CONCATENATE("R5C",'Mapa final'!#REF!),"")</f>
        <v>#REF!</v>
      </c>
      <c r="AN20" s="84"/>
      <c r="AO20" s="386"/>
      <c r="AP20" s="387"/>
      <c r="AQ20" s="387"/>
      <c r="AR20" s="387"/>
      <c r="AS20" s="387"/>
      <c r="AT20" s="388"/>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x14ac:dyDescent="0.25">
      <c r="A21" s="84"/>
      <c r="B21" s="295"/>
      <c r="C21" s="295"/>
      <c r="D21" s="296"/>
      <c r="E21" s="396"/>
      <c r="F21" s="397"/>
      <c r="G21" s="397"/>
      <c r="H21" s="397"/>
      <c r="I21" s="395"/>
      <c r="J21" s="68" t="str">
        <f>IF(AND('Mapa final'!$Y$13="Alta",'Mapa final'!$AA$13="Leve"),CONCATENATE("R6C",'Mapa final'!$O$13),"")</f>
        <v/>
      </c>
      <c r="K21" s="69" t="str">
        <f>IF(AND('Mapa final'!$Y$14="Alta",'Mapa final'!$AA$14="Leve"),CONCATENATE("R6C",'Mapa final'!$O$14),"")</f>
        <v/>
      </c>
      <c r="L21" s="69" t="str">
        <f>IF(AND('Mapa final'!$Y$15="Alta",'Mapa final'!$AA$15="Leve"),CONCATENATE("R6C",'Mapa final'!$O$15),"")</f>
        <v/>
      </c>
      <c r="M21" s="69" t="str">
        <f>IF(AND('Mapa final'!$Y$16="Alta",'Mapa final'!$AA$16="Leve"),CONCATENATE("R6C",'Mapa final'!$O$16),"")</f>
        <v/>
      </c>
      <c r="N21" s="69" t="str">
        <f>IF(AND('Mapa final'!$Y$17="Alta",'Mapa final'!$AA$17="Leve"),CONCATENATE("R6C",'Mapa final'!$O$17),"")</f>
        <v/>
      </c>
      <c r="O21" s="70" t="str">
        <f>IF(AND('Mapa final'!$Y$18="Alta",'Mapa final'!$AA$18="Leve"),CONCATENATE("R6C",'Mapa final'!$O$18),"")</f>
        <v/>
      </c>
      <c r="P21" s="68" t="str">
        <f>IF(AND('Mapa final'!$Y$13="Alta",'Mapa final'!$AA$13="Menor"),CONCATENATE("R6C",'Mapa final'!$O$13),"")</f>
        <v/>
      </c>
      <c r="Q21" s="69" t="str">
        <f>IF(AND('Mapa final'!$Y$14="Alta",'Mapa final'!$AA$14="Menor"),CONCATENATE("R6C",'Mapa final'!$O$14),"")</f>
        <v/>
      </c>
      <c r="R21" s="69" t="str">
        <f>IF(AND('Mapa final'!$Y$15="Alta",'Mapa final'!$AA$15="Menor"),CONCATENATE("R6C",'Mapa final'!$O$15),"")</f>
        <v/>
      </c>
      <c r="S21" s="69" t="str">
        <f>IF(AND('Mapa final'!$Y$16="Alta",'Mapa final'!$AA$16="Menor"),CONCATENATE("R6C",'Mapa final'!$O$16),"")</f>
        <v/>
      </c>
      <c r="T21" s="69" t="str">
        <f>IF(AND('Mapa final'!$Y$17="Alta",'Mapa final'!$AA$17="Menor"),CONCATENATE("R6C",'Mapa final'!$O$17),"")</f>
        <v/>
      </c>
      <c r="U21" s="70" t="str">
        <f>IF(AND('Mapa final'!$Y$18="Alta",'Mapa final'!$AA$18="Menor"),CONCATENATE("R6C",'Mapa final'!$O$18),"")</f>
        <v/>
      </c>
      <c r="V21" s="52" t="str">
        <f>IF(AND('Mapa final'!$Y$13="Alta",'Mapa final'!$AA$13="Moderado"),CONCATENATE("R6C",'Mapa final'!$O$13),"")</f>
        <v/>
      </c>
      <c r="W21" s="53" t="str">
        <f>IF(AND('Mapa final'!$Y$14="Alta",'Mapa final'!$AA$14="Moderado"),CONCATENATE("R6C",'Mapa final'!$O$14),"")</f>
        <v/>
      </c>
      <c r="X21" s="58" t="str">
        <f>IF(AND('Mapa final'!$Y$15="Alta",'Mapa final'!$AA$15="Moderado"),CONCATENATE("R6C",'Mapa final'!$O$15),"")</f>
        <v/>
      </c>
      <c r="Y21" s="58" t="str">
        <f>IF(AND('Mapa final'!$Y$16="Alta",'Mapa final'!$AA$16="Moderado"),CONCATENATE("R6C",'Mapa final'!$O$16),"")</f>
        <v/>
      </c>
      <c r="Z21" s="58" t="str">
        <f>IF(AND('Mapa final'!$Y$17="Alta",'Mapa final'!$AA$17="Moderado"),CONCATENATE("R6C",'Mapa final'!$O$17),"")</f>
        <v/>
      </c>
      <c r="AA21" s="54" t="str">
        <f>IF(AND('Mapa final'!$Y$18="Alta",'Mapa final'!$AA$18="Moderado"),CONCATENATE("R6C",'Mapa final'!$O$18),"")</f>
        <v/>
      </c>
      <c r="AB21" s="52" t="str">
        <f>IF(AND('Mapa final'!$Y$13="Alta",'Mapa final'!$AA$13="Mayor"),CONCATENATE("R6C",'Mapa final'!$O$13),"")</f>
        <v/>
      </c>
      <c r="AC21" s="53" t="str">
        <f>IF(AND('Mapa final'!$Y$14="Alta",'Mapa final'!$AA$14="Mayor"),CONCATENATE("R6C",'Mapa final'!$O$14),"")</f>
        <v/>
      </c>
      <c r="AD21" s="58" t="str">
        <f>IF(AND('Mapa final'!$Y$15="Alta",'Mapa final'!$AA$15="Mayor"),CONCATENATE("R6C",'Mapa final'!$O$15),"")</f>
        <v/>
      </c>
      <c r="AE21" s="58" t="str">
        <f>IF(AND('Mapa final'!$Y$16="Alta",'Mapa final'!$AA$16="Mayor"),CONCATENATE("R6C",'Mapa final'!$O$16),"")</f>
        <v/>
      </c>
      <c r="AF21" s="58" t="str">
        <f>IF(AND('Mapa final'!$Y$17="Alta",'Mapa final'!$AA$17="Mayor"),CONCATENATE("R6C",'Mapa final'!$O$17),"")</f>
        <v/>
      </c>
      <c r="AG21" s="54" t="str">
        <f>IF(AND('Mapa final'!$Y$18="Alta",'Mapa final'!$AA$18="Mayor"),CONCATENATE("R6C",'Mapa final'!$O$18),"")</f>
        <v/>
      </c>
      <c r="AH21" s="55" t="str">
        <f>IF(AND('Mapa final'!$Y$13="Alta",'Mapa final'!$AA$13="Catastrófico"),CONCATENATE("R6C",'Mapa final'!$O$13),"")</f>
        <v/>
      </c>
      <c r="AI21" s="56" t="str">
        <f>IF(AND('Mapa final'!$Y$14="Alta",'Mapa final'!$AA$14="Catastrófico"),CONCATENATE("R6C",'Mapa final'!$O$14),"")</f>
        <v/>
      </c>
      <c r="AJ21" s="56" t="str">
        <f>IF(AND('Mapa final'!$Y$15="Alta",'Mapa final'!$AA$15="Catastrófico"),CONCATENATE("R6C",'Mapa final'!$O$15),"")</f>
        <v/>
      </c>
      <c r="AK21" s="56" t="str">
        <f>IF(AND('Mapa final'!$Y$16="Alta",'Mapa final'!$AA$16="Catastrófico"),CONCATENATE("R6C",'Mapa final'!$O$16),"")</f>
        <v/>
      </c>
      <c r="AL21" s="56" t="str">
        <f>IF(AND('Mapa final'!$Y$17="Alta",'Mapa final'!$AA$17="Catastrófico"),CONCATENATE("R6C",'Mapa final'!$O$17),"")</f>
        <v/>
      </c>
      <c r="AM21" s="57" t="str">
        <f>IF(AND('Mapa final'!$Y$18="Alta",'Mapa final'!$AA$18="Catastrófico"),CONCATENATE("R6C",'Mapa final'!$O$18),"")</f>
        <v/>
      </c>
      <c r="AN21" s="84"/>
      <c r="AO21" s="386"/>
      <c r="AP21" s="387"/>
      <c r="AQ21" s="387"/>
      <c r="AR21" s="387"/>
      <c r="AS21" s="387"/>
      <c r="AT21" s="388"/>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x14ac:dyDescent="0.25">
      <c r="A22" s="84"/>
      <c r="B22" s="295"/>
      <c r="C22" s="295"/>
      <c r="D22" s="296"/>
      <c r="E22" s="396"/>
      <c r="F22" s="397"/>
      <c r="G22" s="397"/>
      <c r="H22" s="397"/>
      <c r="I22" s="395"/>
      <c r="J22" s="68" t="str">
        <f>IF(AND('Mapa final'!$Y$19="Alta",'Mapa final'!$AA$19="Leve"),CONCATENATE("R7C",'Mapa final'!$O$19),"")</f>
        <v/>
      </c>
      <c r="K22" s="69" t="str">
        <f>IF(AND('Mapa final'!$Y$20="Alta",'Mapa final'!$AA$20="Leve"),CONCATENATE("R7C",'Mapa final'!$O$20),"")</f>
        <v/>
      </c>
      <c r="L22" s="69" t="str">
        <f>IF(AND('Mapa final'!$Y$21="Alta",'Mapa final'!$AA$21="Leve"),CONCATENATE("R7C",'Mapa final'!$O$21),"")</f>
        <v/>
      </c>
      <c r="M22" s="69" t="str">
        <f>IF(AND('Mapa final'!$Y$22="Alta",'Mapa final'!$AA$22="Leve"),CONCATENATE("R7C",'Mapa final'!$O$22),"")</f>
        <v/>
      </c>
      <c r="N22" s="69" t="str">
        <f>IF(AND('Mapa final'!$Y$23="Alta",'Mapa final'!$AA$23="Leve"),CONCATENATE("R7C",'Mapa final'!$O$23),"")</f>
        <v/>
      </c>
      <c r="O22" s="70" t="str">
        <f>IF(AND('Mapa final'!$Y$24="Alta",'Mapa final'!$AA$24="Leve"),CONCATENATE("R7C",'Mapa final'!$O$24),"")</f>
        <v/>
      </c>
      <c r="P22" s="68" t="str">
        <f>IF(AND('Mapa final'!$Y$19="Alta",'Mapa final'!$AA$19="Menor"),CONCATENATE("R7C",'Mapa final'!$O$19),"")</f>
        <v/>
      </c>
      <c r="Q22" s="69" t="str">
        <f>IF(AND('Mapa final'!$Y$20="Alta",'Mapa final'!$AA$20="Menor"),CONCATENATE("R7C",'Mapa final'!$O$20),"")</f>
        <v/>
      </c>
      <c r="R22" s="69" t="str">
        <f>IF(AND('Mapa final'!$Y$21="Alta",'Mapa final'!$AA$21="Menor"),CONCATENATE("R7C",'Mapa final'!$O$21),"")</f>
        <v/>
      </c>
      <c r="S22" s="69" t="str">
        <f>IF(AND('Mapa final'!$Y$22="Alta",'Mapa final'!$AA$22="Menor"),CONCATENATE("R7C",'Mapa final'!$O$22),"")</f>
        <v/>
      </c>
      <c r="T22" s="69" t="str">
        <f>IF(AND('Mapa final'!$Y$23="Alta",'Mapa final'!$AA$23="Menor"),CONCATENATE("R7C",'Mapa final'!$O$23),"")</f>
        <v/>
      </c>
      <c r="U22" s="70" t="str">
        <f>IF(AND('Mapa final'!$Y$24="Alta",'Mapa final'!$AA$24="Menor"),CONCATENATE("R7C",'Mapa final'!$O$24),"")</f>
        <v/>
      </c>
      <c r="V22" s="52" t="str">
        <f>IF(AND('Mapa final'!$Y$19="Alta",'Mapa final'!$AA$19="Moderado"),CONCATENATE("R7C",'Mapa final'!$O$19),"")</f>
        <v/>
      </c>
      <c r="W22" s="53" t="str">
        <f>IF(AND('Mapa final'!$Y$20="Alta",'Mapa final'!$AA$20="Moderado"),CONCATENATE("R7C",'Mapa final'!$O$20),"")</f>
        <v/>
      </c>
      <c r="X22" s="58" t="str">
        <f>IF(AND('Mapa final'!$Y$21="Alta",'Mapa final'!$AA$21="Moderado"),CONCATENATE("R7C",'Mapa final'!$O$21),"")</f>
        <v/>
      </c>
      <c r="Y22" s="58" t="str">
        <f>IF(AND('Mapa final'!$Y$22="Alta",'Mapa final'!$AA$22="Moderado"),CONCATENATE("R7C",'Mapa final'!$O$22),"")</f>
        <v/>
      </c>
      <c r="Z22" s="58" t="str">
        <f>IF(AND('Mapa final'!$Y$23="Alta",'Mapa final'!$AA$23="Moderado"),CONCATENATE("R7C",'Mapa final'!$O$23),"")</f>
        <v/>
      </c>
      <c r="AA22" s="54" t="str">
        <f>IF(AND('Mapa final'!$Y$24="Alta",'Mapa final'!$AA$24="Moderado"),CONCATENATE("R7C",'Mapa final'!$O$24),"")</f>
        <v/>
      </c>
      <c r="AB22" s="52" t="str">
        <f>IF(AND('Mapa final'!$Y$19="Alta",'Mapa final'!$AA$19="Mayor"),CONCATENATE("R7C",'Mapa final'!$O$19),"")</f>
        <v/>
      </c>
      <c r="AC22" s="53" t="str">
        <f>IF(AND('Mapa final'!$Y$20="Alta",'Mapa final'!$AA$20="Mayor"),CONCATENATE("R7C",'Mapa final'!$O$20),"")</f>
        <v/>
      </c>
      <c r="AD22" s="58" t="str">
        <f>IF(AND('Mapa final'!$Y$21="Alta",'Mapa final'!$AA$21="Mayor"),CONCATENATE("R7C",'Mapa final'!$O$21),"")</f>
        <v/>
      </c>
      <c r="AE22" s="58" t="str">
        <f>IF(AND('Mapa final'!$Y$22="Alta",'Mapa final'!$AA$22="Mayor"),CONCATENATE("R7C",'Mapa final'!$O$22),"")</f>
        <v/>
      </c>
      <c r="AF22" s="58" t="str">
        <f>IF(AND('Mapa final'!$Y$23="Alta",'Mapa final'!$AA$23="Mayor"),CONCATENATE("R7C",'Mapa final'!$O$23),"")</f>
        <v/>
      </c>
      <c r="AG22" s="54" t="str">
        <f>IF(AND('Mapa final'!$Y$24="Alta",'Mapa final'!$AA$24="Mayor"),CONCATENATE("R7C",'Mapa final'!$O$24),"")</f>
        <v/>
      </c>
      <c r="AH22" s="55" t="str">
        <f>IF(AND('Mapa final'!$Y$19="Alta",'Mapa final'!$AA$19="Catastrófico"),CONCATENATE("R7C",'Mapa final'!$O$19),"")</f>
        <v/>
      </c>
      <c r="AI22" s="56" t="str">
        <f>IF(AND('Mapa final'!$Y$20="Alta",'Mapa final'!$AA$20="Catastrófico"),CONCATENATE("R7C",'Mapa final'!$O$20),"")</f>
        <v/>
      </c>
      <c r="AJ22" s="56" t="str">
        <f>IF(AND('Mapa final'!$Y$21="Alta",'Mapa final'!$AA$21="Catastrófico"),CONCATENATE("R7C",'Mapa final'!$O$21),"")</f>
        <v/>
      </c>
      <c r="AK22" s="56" t="str">
        <f>IF(AND('Mapa final'!$Y$22="Alta",'Mapa final'!$AA$22="Catastrófico"),CONCATENATE("R7C",'Mapa final'!$O$22),"")</f>
        <v/>
      </c>
      <c r="AL22" s="56" t="str">
        <f>IF(AND('Mapa final'!$Y$23="Alta",'Mapa final'!$AA$23="Catastrófico"),CONCATENATE("R7C",'Mapa final'!$O$23),"")</f>
        <v/>
      </c>
      <c r="AM22" s="57" t="str">
        <f>IF(AND('Mapa final'!$Y$24="Alta",'Mapa final'!$AA$24="Catastrófico"),CONCATENATE("R7C",'Mapa final'!$O$24),"")</f>
        <v/>
      </c>
      <c r="AN22" s="84"/>
      <c r="AO22" s="386"/>
      <c r="AP22" s="387"/>
      <c r="AQ22" s="387"/>
      <c r="AR22" s="387"/>
      <c r="AS22" s="387"/>
      <c r="AT22" s="388"/>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x14ac:dyDescent="0.25">
      <c r="A23" s="84"/>
      <c r="B23" s="295"/>
      <c r="C23" s="295"/>
      <c r="D23" s="296"/>
      <c r="E23" s="396"/>
      <c r="F23" s="397"/>
      <c r="G23" s="397"/>
      <c r="H23" s="397"/>
      <c r="I23" s="395"/>
      <c r="J23" s="68" t="str">
        <f>IF(AND('Mapa final'!$Y$25="Alta",'Mapa final'!$AA$25="Leve"),CONCATENATE("R8C",'Mapa final'!$O$25),"")</f>
        <v/>
      </c>
      <c r="K23" s="69" t="str">
        <f>IF(AND('Mapa final'!$Y$26="Alta",'Mapa final'!$AA$26="Leve"),CONCATENATE("R8C",'Mapa final'!$O$26),"")</f>
        <v/>
      </c>
      <c r="L23" s="69" t="str">
        <f>IF(AND('Mapa final'!$Y$27="Alta",'Mapa final'!$AA$27="Leve"),CONCATENATE("R8C",'Mapa final'!$O$27),"")</f>
        <v/>
      </c>
      <c r="M23" s="69" t="str">
        <f>IF(AND('Mapa final'!$Y$28="Alta",'Mapa final'!$AA$28="Leve"),CONCATENATE("R8C",'Mapa final'!$O$28),"")</f>
        <v/>
      </c>
      <c r="N23" s="69" t="str">
        <f>IF(AND('Mapa final'!$Y$29="Alta",'Mapa final'!$AA$29="Leve"),CONCATENATE("R8C",'Mapa final'!$O$29),"")</f>
        <v/>
      </c>
      <c r="O23" s="70" t="str">
        <f>IF(AND('Mapa final'!$Y$30="Alta",'Mapa final'!$AA$30="Leve"),CONCATENATE("R8C",'Mapa final'!$O$30),"")</f>
        <v/>
      </c>
      <c r="P23" s="68" t="str">
        <f>IF(AND('Mapa final'!$Y$25="Alta",'Mapa final'!$AA$25="Menor"),CONCATENATE("R8C",'Mapa final'!$O$25),"")</f>
        <v/>
      </c>
      <c r="Q23" s="69" t="str">
        <f>IF(AND('Mapa final'!$Y$26="Alta",'Mapa final'!$AA$26="Menor"),CONCATENATE("R8C",'Mapa final'!$O$26),"")</f>
        <v/>
      </c>
      <c r="R23" s="69" t="str">
        <f>IF(AND('Mapa final'!$Y$27="Alta",'Mapa final'!$AA$27="Menor"),CONCATENATE("R8C",'Mapa final'!$O$27),"")</f>
        <v/>
      </c>
      <c r="S23" s="69" t="str">
        <f>IF(AND('Mapa final'!$Y$28="Alta",'Mapa final'!$AA$28="Menor"),CONCATENATE("R8C",'Mapa final'!$O$28),"")</f>
        <v/>
      </c>
      <c r="T23" s="69" t="str">
        <f>IF(AND('Mapa final'!$Y$29="Alta",'Mapa final'!$AA$29="Menor"),CONCATENATE("R8C",'Mapa final'!$O$29),"")</f>
        <v/>
      </c>
      <c r="U23" s="70" t="str">
        <f>IF(AND('Mapa final'!$Y$30="Alta",'Mapa final'!$AA$30="Menor"),CONCATENATE("R8C",'Mapa final'!$O$30),"")</f>
        <v/>
      </c>
      <c r="V23" s="52" t="str">
        <f>IF(AND('Mapa final'!$Y$25="Alta",'Mapa final'!$AA$25="Moderado"),CONCATENATE("R8C",'Mapa final'!$O$25),"")</f>
        <v/>
      </c>
      <c r="W23" s="53" t="str">
        <f>IF(AND('Mapa final'!$Y$26="Alta",'Mapa final'!$AA$26="Moderado"),CONCATENATE("R8C",'Mapa final'!$O$26),"")</f>
        <v/>
      </c>
      <c r="X23" s="58" t="str">
        <f>IF(AND('Mapa final'!$Y$27="Alta",'Mapa final'!$AA$27="Moderado"),CONCATENATE("R8C",'Mapa final'!$O$27),"")</f>
        <v/>
      </c>
      <c r="Y23" s="58" t="str">
        <f>IF(AND('Mapa final'!$Y$28="Alta",'Mapa final'!$AA$28="Moderado"),CONCATENATE("R8C",'Mapa final'!$O$28),"")</f>
        <v/>
      </c>
      <c r="Z23" s="58" t="str">
        <f>IF(AND('Mapa final'!$Y$29="Alta",'Mapa final'!$AA$29="Moderado"),CONCATENATE("R8C",'Mapa final'!$O$29),"")</f>
        <v/>
      </c>
      <c r="AA23" s="54" t="str">
        <f>IF(AND('Mapa final'!$Y$30="Alta",'Mapa final'!$AA$30="Moderado"),CONCATENATE("R8C",'Mapa final'!$O$30),"")</f>
        <v/>
      </c>
      <c r="AB23" s="52" t="str">
        <f>IF(AND('Mapa final'!$Y$25="Alta",'Mapa final'!$AA$25="Mayor"),CONCATENATE("R8C",'Mapa final'!$O$25),"")</f>
        <v/>
      </c>
      <c r="AC23" s="53" t="str">
        <f>IF(AND('Mapa final'!$Y$26="Alta",'Mapa final'!$AA$26="Mayor"),CONCATENATE("R8C",'Mapa final'!$O$26),"")</f>
        <v/>
      </c>
      <c r="AD23" s="58" t="str">
        <f>IF(AND('Mapa final'!$Y$27="Alta",'Mapa final'!$AA$27="Mayor"),CONCATENATE("R8C",'Mapa final'!$O$27),"")</f>
        <v/>
      </c>
      <c r="AE23" s="58" t="str">
        <f>IF(AND('Mapa final'!$Y$28="Alta",'Mapa final'!$AA$28="Mayor"),CONCATENATE("R8C",'Mapa final'!$O$28),"")</f>
        <v/>
      </c>
      <c r="AF23" s="58" t="str">
        <f>IF(AND('Mapa final'!$Y$29="Alta",'Mapa final'!$AA$29="Mayor"),CONCATENATE("R8C",'Mapa final'!$O$29),"")</f>
        <v/>
      </c>
      <c r="AG23" s="54" t="str">
        <f>IF(AND('Mapa final'!$Y$30="Alta",'Mapa final'!$AA$30="Mayor"),CONCATENATE("R8C",'Mapa final'!$O$30),"")</f>
        <v/>
      </c>
      <c r="AH23" s="55" t="str">
        <f>IF(AND('Mapa final'!$Y$25="Alta",'Mapa final'!$AA$25="Catastrófico"),CONCATENATE("R8C",'Mapa final'!$O$25),"")</f>
        <v/>
      </c>
      <c r="AI23" s="56" t="str">
        <f>IF(AND('Mapa final'!$Y$26="Alta",'Mapa final'!$AA$26="Catastrófico"),CONCATENATE("R8C",'Mapa final'!$O$26),"")</f>
        <v/>
      </c>
      <c r="AJ23" s="56" t="str">
        <f>IF(AND('Mapa final'!$Y$27="Alta",'Mapa final'!$AA$27="Catastrófico"),CONCATENATE("R8C",'Mapa final'!$O$27),"")</f>
        <v/>
      </c>
      <c r="AK23" s="56" t="str">
        <f>IF(AND('Mapa final'!$Y$28="Alta",'Mapa final'!$AA$28="Catastrófico"),CONCATENATE("R8C",'Mapa final'!$O$28),"")</f>
        <v/>
      </c>
      <c r="AL23" s="56" t="str">
        <f>IF(AND('Mapa final'!$Y$29="Alta",'Mapa final'!$AA$29="Catastrófico"),CONCATENATE("R8C",'Mapa final'!$O$29),"")</f>
        <v/>
      </c>
      <c r="AM23" s="57" t="str">
        <f>IF(AND('Mapa final'!$Y$30="Alta",'Mapa final'!$AA$30="Catastrófico"),CONCATENATE("R8C",'Mapa final'!$O$30),"")</f>
        <v/>
      </c>
      <c r="AN23" s="84"/>
      <c r="AO23" s="386"/>
      <c r="AP23" s="387"/>
      <c r="AQ23" s="387"/>
      <c r="AR23" s="387"/>
      <c r="AS23" s="387"/>
      <c r="AT23" s="388"/>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x14ac:dyDescent="0.25">
      <c r="A24" s="84"/>
      <c r="B24" s="295"/>
      <c r="C24" s="295"/>
      <c r="D24" s="296"/>
      <c r="E24" s="396"/>
      <c r="F24" s="397"/>
      <c r="G24" s="397"/>
      <c r="H24" s="397"/>
      <c r="I24" s="395"/>
      <c r="J24" s="68" t="str">
        <f>IF(AND('Mapa final'!$Y$31="Alta",'Mapa final'!$AA$31="Leve"),CONCATENATE("R9C",'Mapa final'!$O$31),"")</f>
        <v/>
      </c>
      <c r="K24" s="69" t="str">
        <f>IF(AND('Mapa final'!$Y$32="Alta",'Mapa final'!$AA$32="Leve"),CONCATENATE("R9C",'Mapa final'!$O$32),"")</f>
        <v/>
      </c>
      <c r="L24" s="69" t="str">
        <f>IF(AND('Mapa final'!$Y$33="Alta",'Mapa final'!$AA$33="Leve"),CONCATENATE("R9C",'Mapa final'!$O$33),"")</f>
        <v/>
      </c>
      <c r="M24" s="69" t="str">
        <f>IF(AND('Mapa final'!$Y$34="Alta",'Mapa final'!$AA$34="Leve"),CONCATENATE("R9C",'Mapa final'!$O$34),"")</f>
        <v/>
      </c>
      <c r="N24" s="69" t="str">
        <f>IF(AND('Mapa final'!$Y$35="Alta",'Mapa final'!$AA$35="Leve"),CONCATENATE("R9C",'Mapa final'!$O$35),"")</f>
        <v/>
      </c>
      <c r="O24" s="70" t="str">
        <f>IF(AND('Mapa final'!$Y$36="Alta",'Mapa final'!$AA$36="Leve"),CONCATENATE("R9C",'Mapa final'!$O$36),"")</f>
        <v/>
      </c>
      <c r="P24" s="68" t="str">
        <f>IF(AND('Mapa final'!$Y$31="Alta",'Mapa final'!$AA$31="Menor"),CONCATENATE("R9C",'Mapa final'!$O$31),"")</f>
        <v/>
      </c>
      <c r="Q24" s="69" t="str">
        <f>IF(AND('Mapa final'!$Y$32="Alta",'Mapa final'!$AA$32="Menor"),CONCATENATE("R9C",'Mapa final'!$O$32),"")</f>
        <v/>
      </c>
      <c r="R24" s="69" t="str">
        <f>IF(AND('Mapa final'!$Y$33="Alta",'Mapa final'!$AA$33="Menor"),CONCATENATE("R9C",'Mapa final'!$O$33),"")</f>
        <v/>
      </c>
      <c r="S24" s="69" t="str">
        <f>IF(AND('Mapa final'!$Y$34="Alta",'Mapa final'!$AA$34="Menor"),CONCATENATE("R9C",'Mapa final'!$O$34),"")</f>
        <v/>
      </c>
      <c r="T24" s="69" t="str">
        <f>IF(AND('Mapa final'!$Y$35="Alta",'Mapa final'!$AA$35="Menor"),CONCATENATE("R9C",'Mapa final'!$O$35),"")</f>
        <v/>
      </c>
      <c r="U24" s="70" t="str">
        <f>IF(AND('Mapa final'!$Y$36="Alta",'Mapa final'!$AA$36="Menor"),CONCATENATE("R9C",'Mapa final'!$O$36),"")</f>
        <v/>
      </c>
      <c r="V24" s="52" t="str">
        <f>IF(AND('Mapa final'!$Y$31="Alta",'Mapa final'!$AA$31="Moderado"),CONCATENATE("R9C",'Mapa final'!$O$31),"")</f>
        <v/>
      </c>
      <c r="W24" s="53" t="str">
        <f>IF(AND('Mapa final'!$Y$32="Alta",'Mapa final'!$AA$32="Moderado"),CONCATENATE("R9C",'Mapa final'!$O$32),"")</f>
        <v/>
      </c>
      <c r="X24" s="58" t="str">
        <f>IF(AND('Mapa final'!$Y$33="Alta",'Mapa final'!$AA$33="Moderado"),CONCATENATE("R9C",'Mapa final'!$O$33),"")</f>
        <v/>
      </c>
      <c r="Y24" s="58" t="str">
        <f>IF(AND('Mapa final'!$Y$34="Alta",'Mapa final'!$AA$34="Moderado"),CONCATENATE("R9C",'Mapa final'!$O$34),"")</f>
        <v/>
      </c>
      <c r="Z24" s="58" t="str">
        <f>IF(AND('Mapa final'!$Y$35="Alta",'Mapa final'!$AA$35="Moderado"),CONCATENATE("R9C",'Mapa final'!$O$35),"")</f>
        <v/>
      </c>
      <c r="AA24" s="54" t="str">
        <f>IF(AND('Mapa final'!$Y$36="Alta",'Mapa final'!$AA$36="Moderado"),CONCATENATE("R9C",'Mapa final'!$O$36),"")</f>
        <v/>
      </c>
      <c r="AB24" s="52" t="str">
        <f>IF(AND('Mapa final'!$Y$31="Alta",'Mapa final'!$AA$31="Mayor"),CONCATENATE("R9C",'Mapa final'!$O$31),"")</f>
        <v/>
      </c>
      <c r="AC24" s="53" t="str">
        <f>IF(AND('Mapa final'!$Y$32="Alta",'Mapa final'!$AA$32="Mayor"),CONCATENATE("R9C",'Mapa final'!$O$32),"")</f>
        <v/>
      </c>
      <c r="AD24" s="58" t="str">
        <f>IF(AND('Mapa final'!$Y$33="Alta",'Mapa final'!$AA$33="Mayor"),CONCATENATE("R9C",'Mapa final'!$O$33),"")</f>
        <v/>
      </c>
      <c r="AE24" s="58" t="str">
        <f>IF(AND('Mapa final'!$Y$34="Alta",'Mapa final'!$AA$34="Mayor"),CONCATENATE("R9C",'Mapa final'!$O$34),"")</f>
        <v/>
      </c>
      <c r="AF24" s="58" t="str">
        <f>IF(AND('Mapa final'!$Y$35="Alta",'Mapa final'!$AA$35="Mayor"),CONCATENATE("R9C",'Mapa final'!$O$35),"")</f>
        <v/>
      </c>
      <c r="AG24" s="54" t="str">
        <f>IF(AND('Mapa final'!$Y$36="Alta",'Mapa final'!$AA$36="Mayor"),CONCATENATE("R9C",'Mapa final'!$O$36),"")</f>
        <v/>
      </c>
      <c r="AH24" s="55" t="str">
        <f>IF(AND('Mapa final'!$Y$31="Alta",'Mapa final'!$AA$31="Catastrófico"),CONCATENATE("R9C",'Mapa final'!$O$31),"")</f>
        <v/>
      </c>
      <c r="AI24" s="56" t="str">
        <f>IF(AND('Mapa final'!$Y$32="Alta",'Mapa final'!$AA$32="Catastrófico"),CONCATENATE("R9C",'Mapa final'!$O$32),"")</f>
        <v/>
      </c>
      <c r="AJ24" s="56" t="str">
        <f>IF(AND('Mapa final'!$Y$33="Alta",'Mapa final'!$AA$33="Catastrófico"),CONCATENATE("R9C",'Mapa final'!$O$33),"")</f>
        <v/>
      </c>
      <c r="AK24" s="56" t="str">
        <f>IF(AND('Mapa final'!$Y$34="Alta",'Mapa final'!$AA$34="Catastrófico"),CONCATENATE("R9C",'Mapa final'!$O$34),"")</f>
        <v/>
      </c>
      <c r="AL24" s="56" t="str">
        <f>IF(AND('Mapa final'!$Y$35="Alta",'Mapa final'!$AA$35="Catastrófico"),CONCATENATE("R9C",'Mapa final'!$O$35),"")</f>
        <v/>
      </c>
      <c r="AM24" s="57" t="str">
        <f>IF(AND('Mapa final'!$Y$36="Alta",'Mapa final'!$AA$36="Catastrófico"),CONCATENATE("R9C",'Mapa final'!$O$36),"")</f>
        <v/>
      </c>
      <c r="AN24" s="84"/>
      <c r="AO24" s="386"/>
      <c r="AP24" s="387"/>
      <c r="AQ24" s="387"/>
      <c r="AR24" s="387"/>
      <c r="AS24" s="387"/>
      <c r="AT24" s="388"/>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x14ac:dyDescent="0.3">
      <c r="A25" s="84"/>
      <c r="B25" s="295"/>
      <c r="C25" s="295"/>
      <c r="D25" s="296"/>
      <c r="E25" s="398"/>
      <c r="F25" s="399"/>
      <c r="G25" s="399"/>
      <c r="H25" s="399"/>
      <c r="I25" s="399"/>
      <c r="J25" s="71" t="str">
        <f>IF(AND('Mapa final'!$Y$37="Alta",'Mapa final'!$AA$37="Leve"),CONCATENATE("R10C",'Mapa final'!$O$37),"")</f>
        <v/>
      </c>
      <c r="K25" s="72" t="str">
        <f>IF(AND('Mapa final'!$Y$38="Alta",'Mapa final'!$AA$38="Leve"),CONCATENATE("R10C",'Mapa final'!$O$38),"")</f>
        <v/>
      </c>
      <c r="L25" s="72" t="str">
        <f>IF(AND('Mapa final'!$Y$39="Alta",'Mapa final'!$AA$39="Leve"),CONCATENATE("R10C",'Mapa final'!$O$39),"")</f>
        <v/>
      </c>
      <c r="M25" s="72" t="str">
        <f>IF(AND('Mapa final'!$Y$40="Alta",'Mapa final'!$AA$40="Leve"),CONCATENATE("R10C",'Mapa final'!$O$40),"")</f>
        <v/>
      </c>
      <c r="N25" s="72" t="str">
        <f>IF(AND('Mapa final'!$Y$41="Alta",'Mapa final'!$AA$41="Leve"),CONCATENATE("R10C",'Mapa final'!$O$41),"")</f>
        <v/>
      </c>
      <c r="O25" s="73" t="str">
        <f>IF(AND('Mapa final'!$Y$42="Alta",'Mapa final'!$AA$42="Leve"),CONCATENATE("R10C",'Mapa final'!$O$42),"")</f>
        <v/>
      </c>
      <c r="P25" s="71" t="str">
        <f>IF(AND('Mapa final'!$Y$37="Alta",'Mapa final'!$AA$37="Menor"),CONCATENATE("R10C",'Mapa final'!$O$37),"")</f>
        <v/>
      </c>
      <c r="Q25" s="72" t="str">
        <f>IF(AND('Mapa final'!$Y$38="Alta",'Mapa final'!$AA$38="Menor"),CONCATENATE("R10C",'Mapa final'!$O$38),"")</f>
        <v/>
      </c>
      <c r="R25" s="72" t="str">
        <f>IF(AND('Mapa final'!$Y$39="Alta",'Mapa final'!$AA$39="Menor"),CONCATENATE("R10C",'Mapa final'!$O$39),"")</f>
        <v/>
      </c>
      <c r="S25" s="72" t="str">
        <f>IF(AND('Mapa final'!$Y$40="Alta",'Mapa final'!$AA$40="Menor"),CONCATENATE("R10C",'Mapa final'!$O$40),"")</f>
        <v/>
      </c>
      <c r="T25" s="72" t="str">
        <f>IF(AND('Mapa final'!$Y$41="Alta",'Mapa final'!$AA$41="Menor"),CONCATENATE("R10C",'Mapa final'!$O$41),"")</f>
        <v/>
      </c>
      <c r="U25" s="73" t="str">
        <f>IF(AND('Mapa final'!$Y$42="Alta",'Mapa final'!$AA$42="Menor"),CONCATENATE("R10C",'Mapa final'!$O$42),"")</f>
        <v/>
      </c>
      <c r="V25" s="59" t="str">
        <f>IF(AND('Mapa final'!$Y$37="Alta",'Mapa final'!$AA$37="Moderado"),CONCATENATE("R10C",'Mapa final'!$O$37),"")</f>
        <v/>
      </c>
      <c r="W25" s="60" t="str">
        <f>IF(AND('Mapa final'!$Y$38="Alta",'Mapa final'!$AA$38="Moderado"),CONCATENATE("R10C",'Mapa final'!$O$38),"")</f>
        <v/>
      </c>
      <c r="X25" s="60" t="str">
        <f>IF(AND('Mapa final'!$Y$39="Alta",'Mapa final'!$AA$39="Moderado"),CONCATENATE("R10C",'Mapa final'!$O$39),"")</f>
        <v/>
      </c>
      <c r="Y25" s="60" t="str">
        <f>IF(AND('Mapa final'!$Y$40="Alta",'Mapa final'!$AA$40="Moderado"),CONCATENATE("R10C",'Mapa final'!$O$40),"")</f>
        <v/>
      </c>
      <c r="Z25" s="60" t="str">
        <f>IF(AND('Mapa final'!$Y$41="Alta",'Mapa final'!$AA$41="Moderado"),CONCATENATE("R10C",'Mapa final'!$O$41),"")</f>
        <v/>
      </c>
      <c r="AA25" s="61" t="str">
        <f>IF(AND('Mapa final'!$Y$42="Alta",'Mapa final'!$AA$42="Moderado"),CONCATENATE("R10C",'Mapa final'!$O$42),"")</f>
        <v/>
      </c>
      <c r="AB25" s="59" t="str">
        <f>IF(AND('Mapa final'!$Y$37="Alta",'Mapa final'!$AA$37="Mayor"),CONCATENATE("R10C",'Mapa final'!$O$37),"")</f>
        <v/>
      </c>
      <c r="AC25" s="60" t="str">
        <f>IF(AND('Mapa final'!$Y$38="Alta",'Mapa final'!$AA$38="Mayor"),CONCATENATE("R10C",'Mapa final'!$O$38),"")</f>
        <v/>
      </c>
      <c r="AD25" s="60" t="str">
        <f>IF(AND('Mapa final'!$Y$39="Alta",'Mapa final'!$AA$39="Mayor"),CONCATENATE("R10C",'Mapa final'!$O$39),"")</f>
        <v/>
      </c>
      <c r="AE25" s="60" t="str">
        <f>IF(AND('Mapa final'!$Y$40="Alta",'Mapa final'!$AA$40="Mayor"),CONCATENATE("R10C",'Mapa final'!$O$40),"")</f>
        <v/>
      </c>
      <c r="AF25" s="60" t="str">
        <f>IF(AND('Mapa final'!$Y$41="Alta",'Mapa final'!$AA$41="Mayor"),CONCATENATE("R10C",'Mapa final'!$O$41),"")</f>
        <v/>
      </c>
      <c r="AG25" s="61" t="str">
        <f>IF(AND('Mapa final'!$Y$42="Alta",'Mapa final'!$AA$42="Mayor"),CONCATENATE("R10C",'Mapa final'!$O$42),"")</f>
        <v/>
      </c>
      <c r="AH25" s="62" t="str">
        <f>IF(AND('Mapa final'!$Y$37="Alta",'Mapa final'!$AA$37="Catastrófico"),CONCATENATE("R10C",'Mapa final'!$O$37),"")</f>
        <v/>
      </c>
      <c r="AI25" s="63" t="str">
        <f>IF(AND('Mapa final'!$Y$38="Alta",'Mapa final'!$AA$38="Catastrófico"),CONCATENATE("R10C",'Mapa final'!$O$38),"")</f>
        <v/>
      </c>
      <c r="AJ25" s="63" t="str">
        <f>IF(AND('Mapa final'!$Y$39="Alta",'Mapa final'!$AA$39="Catastrófico"),CONCATENATE("R10C",'Mapa final'!$O$39),"")</f>
        <v/>
      </c>
      <c r="AK25" s="63" t="str">
        <f>IF(AND('Mapa final'!$Y$40="Alta",'Mapa final'!$AA$40="Catastrófico"),CONCATENATE("R10C",'Mapa final'!$O$40),"")</f>
        <v/>
      </c>
      <c r="AL25" s="63" t="str">
        <f>IF(AND('Mapa final'!$Y$41="Alta",'Mapa final'!$AA$41="Catastrófico"),CONCATENATE("R10C",'Mapa final'!$O$41),"")</f>
        <v/>
      </c>
      <c r="AM25" s="64" t="str">
        <f>IF(AND('Mapa final'!$Y$42="Alta",'Mapa final'!$AA$42="Catastrófico"),CONCATENATE("R10C",'Mapa final'!$O$42),"")</f>
        <v/>
      </c>
      <c r="AN25" s="84"/>
      <c r="AO25" s="389"/>
      <c r="AP25" s="390"/>
      <c r="AQ25" s="390"/>
      <c r="AR25" s="390"/>
      <c r="AS25" s="390"/>
      <c r="AT25" s="391"/>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x14ac:dyDescent="0.25">
      <c r="A26" s="84"/>
      <c r="B26" s="295"/>
      <c r="C26" s="295"/>
      <c r="D26" s="296"/>
      <c r="E26" s="392" t="s">
        <v>117</v>
      </c>
      <c r="F26" s="393"/>
      <c r="G26" s="393"/>
      <c r="H26" s="393"/>
      <c r="I26" s="411"/>
      <c r="J26" s="65" t="str">
        <f>IF(AND('Mapa final'!$Y$10="Media",'Mapa final'!$AA$10="Leve"),CONCATENATE("R1C",'Mapa final'!$O$10),"")</f>
        <v/>
      </c>
      <c r="K26" s="66" t="e">
        <f>IF(AND('Mapa final'!#REF!="Media",'Mapa final'!#REF!="Leve"),CONCATENATE("R1C",'Mapa final'!#REF!),"")</f>
        <v>#REF!</v>
      </c>
      <c r="L26" s="66" t="e">
        <f>IF(AND('Mapa final'!#REF!="Media",'Mapa final'!#REF!="Leve"),CONCATENATE("R1C",'Mapa final'!#REF!),"")</f>
        <v>#REF!</v>
      </c>
      <c r="M26" s="66" t="e">
        <f>IF(AND('Mapa final'!#REF!="Media",'Mapa final'!#REF!="Leve"),CONCATENATE("R1C",'Mapa final'!#REF!),"")</f>
        <v>#REF!</v>
      </c>
      <c r="N26" s="66" t="e">
        <f>IF(AND('Mapa final'!#REF!="Media",'Mapa final'!#REF!="Leve"),CONCATENATE("R1C",'Mapa final'!#REF!),"")</f>
        <v>#REF!</v>
      </c>
      <c r="O26" s="67" t="e">
        <f>IF(AND('Mapa final'!#REF!="Media",'Mapa final'!#REF!="Leve"),CONCATENATE("R1C",'Mapa final'!#REF!),"")</f>
        <v>#REF!</v>
      </c>
      <c r="P26" s="65" t="str">
        <f>IF(AND('Mapa final'!$Y$10="Media",'Mapa final'!$AA$10="Menor"),CONCATENATE("R1C",'Mapa final'!$O$10),"")</f>
        <v/>
      </c>
      <c r="Q26" s="66" t="e">
        <f>IF(AND('Mapa final'!#REF!="Media",'Mapa final'!#REF!="Menor"),CONCATENATE("R1C",'Mapa final'!#REF!),"")</f>
        <v>#REF!</v>
      </c>
      <c r="R26" s="66" t="e">
        <f>IF(AND('Mapa final'!#REF!="Media",'Mapa final'!#REF!="Menor"),CONCATENATE("R1C",'Mapa final'!#REF!),"")</f>
        <v>#REF!</v>
      </c>
      <c r="S26" s="66" t="e">
        <f>IF(AND('Mapa final'!#REF!="Media",'Mapa final'!#REF!="Menor"),CONCATENATE("R1C",'Mapa final'!#REF!),"")</f>
        <v>#REF!</v>
      </c>
      <c r="T26" s="66" t="e">
        <f>IF(AND('Mapa final'!#REF!="Media",'Mapa final'!#REF!="Menor"),CONCATENATE("R1C",'Mapa final'!#REF!),"")</f>
        <v>#REF!</v>
      </c>
      <c r="U26" s="67" t="e">
        <f>IF(AND('Mapa final'!#REF!="Media",'Mapa final'!#REF!="Menor"),CONCATENATE("R1C",'Mapa final'!#REF!),"")</f>
        <v>#REF!</v>
      </c>
      <c r="V26" s="65" t="str">
        <f>IF(AND('Mapa final'!$Y$10="Media",'Mapa final'!$AA$10="Moderado"),CONCATENATE("R1C",'Mapa final'!$O$10),"")</f>
        <v>R1C1</v>
      </c>
      <c r="W26" s="66" t="e">
        <f>IF(AND('Mapa final'!#REF!="Media",'Mapa final'!#REF!="Moderado"),CONCATENATE("R1C",'Mapa final'!#REF!),"")</f>
        <v>#REF!</v>
      </c>
      <c r="X26" s="66" t="e">
        <f>IF(AND('Mapa final'!#REF!="Media",'Mapa final'!#REF!="Moderado"),CONCATENATE("R1C",'Mapa final'!#REF!),"")</f>
        <v>#REF!</v>
      </c>
      <c r="Y26" s="66" t="e">
        <f>IF(AND('Mapa final'!#REF!="Media",'Mapa final'!#REF!="Moderado"),CONCATENATE("R1C",'Mapa final'!#REF!),"")</f>
        <v>#REF!</v>
      </c>
      <c r="Z26" s="66" t="e">
        <f>IF(AND('Mapa final'!#REF!="Media",'Mapa final'!#REF!="Moderado"),CONCATENATE("R1C",'Mapa final'!#REF!),"")</f>
        <v>#REF!</v>
      </c>
      <c r="AA26" s="67" t="e">
        <f>IF(AND('Mapa final'!#REF!="Media",'Mapa final'!#REF!="Moderado"),CONCATENATE("R1C",'Mapa final'!#REF!),"")</f>
        <v>#REF!</v>
      </c>
      <c r="AB26" s="46" t="str">
        <f>IF(AND('Mapa final'!$Y$10="Media",'Mapa final'!$AA$10="Mayor"),CONCATENATE("R1C",'Mapa final'!$O$10),"")</f>
        <v/>
      </c>
      <c r="AC26" s="47" t="e">
        <f>IF(AND('Mapa final'!#REF!="Media",'Mapa final'!#REF!="Mayor"),CONCATENATE("R1C",'Mapa final'!#REF!),"")</f>
        <v>#REF!</v>
      </c>
      <c r="AD26" s="47" t="e">
        <f>IF(AND('Mapa final'!#REF!="Media",'Mapa final'!#REF!="Mayor"),CONCATENATE("R1C",'Mapa final'!#REF!),"")</f>
        <v>#REF!</v>
      </c>
      <c r="AE26" s="47" t="e">
        <f>IF(AND('Mapa final'!#REF!="Media",'Mapa final'!#REF!="Mayor"),CONCATENATE("R1C",'Mapa final'!#REF!),"")</f>
        <v>#REF!</v>
      </c>
      <c r="AF26" s="47" t="e">
        <f>IF(AND('Mapa final'!#REF!="Media",'Mapa final'!#REF!="Mayor"),CONCATENATE("R1C",'Mapa final'!#REF!),"")</f>
        <v>#REF!</v>
      </c>
      <c r="AG26" s="48" t="e">
        <f>IF(AND('Mapa final'!#REF!="Media",'Mapa final'!#REF!="Mayor"),CONCATENATE("R1C",'Mapa final'!#REF!),"")</f>
        <v>#REF!</v>
      </c>
      <c r="AH26" s="49" t="str">
        <f>IF(AND('Mapa final'!$Y$10="Media",'Mapa final'!$AA$10="Catastrófico"),CONCATENATE("R1C",'Mapa final'!$O$10),"")</f>
        <v/>
      </c>
      <c r="AI26" s="50" t="e">
        <f>IF(AND('Mapa final'!#REF!="Media",'Mapa final'!#REF!="Catastrófico"),CONCATENATE("R1C",'Mapa final'!#REF!),"")</f>
        <v>#REF!</v>
      </c>
      <c r="AJ26" s="50" t="e">
        <f>IF(AND('Mapa final'!#REF!="Media",'Mapa final'!#REF!="Catastrófico"),CONCATENATE("R1C",'Mapa final'!#REF!),"")</f>
        <v>#REF!</v>
      </c>
      <c r="AK26" s="50" t="e">
        <f>IF(AND('Mapa final'!#REF!="Media",'Mapa final'!#REF!="Catastrófico"),CONCATENATE("R1C",'Mapa final'!#REF!),"")</f>
        <v>#REF!</v>
      </c>
      <c r="AL26" s="50" t="e">
        <f>IF(AND('Mapa final'!#REF!="Media",'Mapa final'!#REF!="Catastrófico"),CONCATENATE("R1C",'Mapa final'!#REF!),"")</f>
        <v>#REF!</v>
      </c>
      <c r="AM26" s="51" t="e">
        <f>IF(AND('Mapa final'!#REF!="Media",'Mapa final'!#REF!="Catastrófico"),CONCATENATE("R1C",'Mapa final'!#REF!),"")</f>
        <v>#REF!</v>
      </c>
      <c r="AN26" s="84"/>
      <c r="AO26" s="423" t="s">
        <v>81</v>
      </c>
      <c r="AP26" s="424"/>
      <c r="AQ26" s="424"/>
      <c r="AR26" s="424"/>
      <c r="AS26" s="424"/>
      <c r="AT26" s="425"/>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x14ac:dyDescent="0.25">
      <c r="A27" s="84"/>
      <c r="B27" s="295"/>
      <c r="C27" s="295"/>
      <c r="D27" s="296"/>
      <c r="E27" s="394"/>
      <c r="F27" s="395"/>
      <c r="G27" s="395"/>
      <c r="H27" s="395"/>
      <c r="I27" s="412"/>
      <c r="J27" s="68" t="e">
        <f>IF(AND('Mapa final'!#REF!="Media",'Mapa final'!#REF!="Leve"),CONCATENATE("R2C",'Mapa final'!#REF!),"")</f>
        <v>#REF!</v>
      </c>
      <c r="K27" s="69" t="e">
        <f>IF(AND('Mapa final'!#REF!="Media",'Mapa final'!#REF!="Leve"),CONCATENATE("R2C",'Mapa final'!#REF!),"")</f>
        <v>#REF!</v>
      </c>
      <c r="L27" s="69" t="e">
        <f>IF(AND('Mapa final'!#REF!="Media",'Mapa final'!#REF!="Leve"),CONCATENATE("R2C",'Mapa final'!#REF!),"")</f>
        <v>#REF!</v>
      </c>
      <c r="M27" s="69" t="e">
        <f>IF(AND('Mapa final'!#REF!="Media",'Mapa final'!#REF!="Leve"),CONCATENATE("R2C",'Mapa final'!#REF!),"")</f>
        <v>#REF!</v>
      </c>
      <c r="N27" s="69" t="e">
        <f>IF(AND('Mapa final'!#REF!="Media",'Mapa final'!#REF!="Leve"),CONCATENATE("R2C",'Mapa final'!#REF!),"")</f>
        <v>#REF!</v>
      </c>
      <c r="O27" s="70" t="e">
        <f>IF(AND('Mapa final'!#REF!="Media",'Mapa final'!#REF!="Leve"),CONCATENATE("R2C",'Mapa final'!#REF!),"")</f>
        <v>#REF!</v>
      </c>
      <c r="P27" s="68" t="e">
        <f>IF(AND('Mapa final'!#REF!="Media",'Mapa final'!#REF!="Menor"),CONCATENATE("R2C",'Mapa final'!#REF!),"")</f>
        <v>#REF!</v>
      </c>
      <c r="Q27" s="69" t="e">
        <f>IF(AND('Mapa final'!#REF!="Media",'Mapa final'!#REF!="Menor"),CONCATENATE("R2C",'Mapa final'!#REF!),"")</f>
        <v>#REF!</v>
      </c>
      <c r="R27" s="69" t="e">
        <f>IF(AND('Mapa final'!#REF!="Media",'Mapa final'!#REF!="Menor"),CONCATENATE("R2C",'Mapa final'!#REF!),"")</f>
        <v>#REF!</v>
      </c>
      <c r="S27" s="69" t="e">
        <f>IF(AND('Mapa final'!#REF!="Media",'Mapa final'!#REF!="Menor"),CONCATENATE("R2C",'Mapa final'!#REF!),"")</f>
        <v>#REF!</v>
      </c>
      <c r="T27" s="69" t="e">
        <f>IF(AND('Mapa final'!#REF!="Media",'Mapa final'!#REF!="Menor"),CONCATENATE("R2C",'Mapa final'!#REF!),"")</f>
        <v>#REF!</v>
      </c>
      <c r="U27" s="70" t="e">
        <f>IF(AND('Mapa final'!#REF!="Media",'Mapa final'!#REF!="Menor"),CONCATENATE("R2C",'Mapa final'!#REF!),"")</f>
        <v>#REF!</v>
      </c>
      <c r="V27" s="68" t="e">
        <f>IF(AND('Mapa final'!#REF!="Media",'Mapa final'!#REF!="Moderado"),CONCATENATE("R2C",'Mapa final'!#REF!),"")</f>
        <v>#REF!</v>
      </c>
      <c r="W27" s="69" t="e">
        <f>IF(AND('Mapa final'!#REF!="Media",'Mapa final'!#REF!="Moderado"),CONCATENATE("R2C",'Mapa final'!#REF!),"")</f>
        <v>#REF!</v>
      </c>
      <c r="X27" s="69" t="e">
        <f>IF(AND('Mapa final'!#REF!="Media",'Mapa final'!#REF!="Moderado"),CONCATENATE("R2C",'Mapa final'!#REF!),"")</f>
        <v>#REF!</v>
      </c>
      <c r="Y27" s="69" t="e">
        <f>IF(AND('Mapa final'!#REF!="Media",'Mapa final'!#REF!="Moderado"),CONCATENATE("R2C",'Mapa final'!#REF!),"")</f>
        <v>#REF!</v>
      </c>
      <c r="Z27" s="69" t="e">
        <f>IF(AND('Mapa final'!#REF!="Media",'Mapa final'!#REF!="Moderado"),CONCATENATE("R2C",'Mapa final'!#REF!),"")</f>
        <v>#REF!</v>
      </c>
      <c r="AA27" s="70" t="e">
        <f>IF(AND('Mapa final'!#REF!="Media",'Mapa final'!#REF!="Moderado"),CONCATENATE("R2C",'Mapa final'!#REF!),"")</f>
        <v>#REF!</v>
      </c>
      <c r="AB27" s="52" t="e">
        <f>IF(AND('Mapa final'!#REF!="Media",'Mapa final'!#REF!="Mayor"),CONCATENATE("R2C",'Mapa final'!#REF!),"")</f>
        <v>#REF!</v>
      </c>
      <c r="AC27" s="53" t="e">
        <f>IF(AND('Mapa final'!#REF!="Media",'Mapa final'!#REF!="Mayor"),CONCATENATE("R2C",'Mapa final'!#REF!),"")</f>
        <v>#REF!</v>
      </c>
      <c r="AD27" s="53" t="e">
        <f>IF(AND('Mapa final'!#REF!="Media",'Mapa final'!#REF!="Mayor"),CONCATENATE("R2C",'Mapa final'!#REF!),"")</f>
        <v>#REF!</v>
      </c>
      <c r="AE27" s="53" t="e">
        <f>IF(AND('Mapa final'!#REF!="Media",'Mapa final'!#REF!="Mayor"),CONCATENATE("R2C",'Mapa final'!#REF!),"")</f>
        <v>#REF!</v>
      </c>
      <c r="AF27" s="53" t="e">
        <f>IF(AND('Mapa final'!#REF!="Media",'Mapa final'!#REF!="Mayor"),CONCATENATE("R2C",'Mapa final'!#REF!),"")</f>
        <v>#REF!</v>
      </c>
      <c r="AG27" s="54" t="e">
        <f>IF(AND('Mapa final'!#REF!="Media",'Mapa final'!#REF!="Mayor"),CONCATENATE("R2C",'Mapa final'!#REF!),"")</f>
        <v>#REF!</v>
      </c>
      <c r="AH27" s="55" t="e">
        <f>IF(AND('Mapa final'!#REF!="Media",'Mapa final'!#REF!="Catastrófico"),CONCATENATE("R2C",'Mapa final'!#REF!),"")</f>
        <v>#REF!</v>
      </c>
      <c r="AI27" s="56" t="e">
        <f>IF(AND('Mapa final'!#REF!="Media",'Mapa final'!#REF!="Catastrófico"),CONCATENATE("R2C",'Mapa final'!#REF!),"")</f>
        <v>#REF!</v>
      </c>
      <c r="AJ27" s="56" t="e">
        <f>IF(AND('Mapa final'!#REF!="Media",'Mapa final'!#REF!="Catastrófico"),CONCATENATE("R2C",'Mapa final'!#REF!),"")</f>
        <v>#REF!</v>
      </c>
      <c r="AK27" s="56" t="e">
        <f>IF(AND('Mapa final'!#REF!="Media",'Mapa final'!#REF!="Catastrófico"),CONCATENATE("R2C",'Mapa final'!#REF!),"")</f>
        <v>#REF!</v>
      </c>
      <c r="AL27" s="56" t="e">
        <f>IF(AND('Mapa final'!#REF!="Media",'Mapa final'!#REF!="Catastrófico"),CONCATENATE("R2C",'Mapa final'!#REF!),"")</f>
        <v>#REF!</v>
      </c>
      <c r="AM27" s="57" t="e">
        <f>IF(AND('Mapa final'!#REF!="Media",'Mapa final'!#REF!="Catastrófico"),CONCATENATE("R2C",'Mapa final'!#REF!),"")</f>
        <v>#REF!</v>
      </c>
      <c r="AN27" s="84"/>
      <c r="AO27" s="426"/>
      <c r="AP27" s="427"/>
      <c r="AQ27" s="427"/>
      <c r="AR27" s="427"/>
      <c r="AS27" s="427"/>
      <c r="AT27" s="428"/>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x14ac:dyDescent="0.25">
      <c r="A28" s="84"/>
      <c r="B28" s="295"/>
      <c r="C28" s="295"/>
      <c r="D28" s="296"/>
      <c r="E28" s="396"/>
      <c r="F28" s="397"/>
      <c r="G28" s="397"/>
      <c r="H28" s="397"/>
      <c r="I28" s="412"/>
      <c r="J28" s="68" t="e">
        <f>IF(AND('Mapa final'!#REF!="Media",'Mapa final'!#REF!="Leve"),CONCATENATE("R3C",'Mapa final'!#REF!),"")</f>
        <v>#REF!</v>
      </c>
      <c r="K28" s="69" t="str">
        <f>IF(AND('Mapa final'!$Y$11="Media",'Mapa final'!$AA$11="Leve"),CONCATENATE("R3C",'Mapa final'!$O$11),"")</f>
        <v/>
      </c>
      <c r="L28" s="69" t="e">
        <f>IF(AND('Mapa final'!#REF!="Media",'Mapa final'!#REF!="Leve"),CONCATENATE("R3C",'Mapa final'!#REF!),"")</f>
        <v>#REF!</v>
      </c>
      <c r="M28" s="69" t="e">
        <f>IF(AND('Mapa final'!#REF!="Media",'Mapa final'!#REF!="Leve"),CONCATENATE("R3C",'Mapa final'!#REF!),"")</f>
        <v>#REF!</v>
      </c>
      <c r="N28" s="69" t="e">
        <f>IF(AND('Mapa final'!#REF!="Media",'Mapa final'!#REF!="Leve"),CONCATENATE("R3C",'Mapa final'!#REF!),"")</f>
        <v>#REF!</v>
      </c>
      <c r="O28" s="70" t="e">
        <f>IF(AND('Mapa final'!#REF!="Media",'Mapa final'!#REF!="Leve"),CONCATENATE("R3C",'Mapa final'!#REF!),"")</f>
        <v>#REF!</v>
      </c>
      <c r="P28" s="68" t="e">
        <f>IF(AND('Mapa final'!#REF!="Media",'Mapa final'!#REF!="Menor"),CONCATENATE("R3C",'Mapa final'!#REF!),"")</f>
        <v>#REF!</v>
      </c>
      <c r="Q28" s="69" t="str">
        <f>IF(AND('Mapa final'!$Y$11="Media",'Mapa final'!$AA$11="Menor"),CONCATENATE("R3C",'Mapa final'!$O$11),"")</f>
        <v/>
      </c>
      <c r="R28" s="69" t="e">
        <f>IF(AND('Mapa final'!#REF!="Media",'Mapa final'!#REF!="Menor"),CONCATENATE("R3C",'Mapa final'!#REF!),"")</f>
        <v>#REF!</v>
      </c>
      <c r="S28" s="69" t="e">
        <f>IF(AND('Mapa final'!#REF!="Media",'Mapa final'!#REF!="Menor"),CONCATENATE("R3C",'Mapa final'!#REF!),"")</f>
        <v>#REF!</v>
      </c>
      <c r="T28" s="69" t="e">
        <f>IF(AND('Mapa final'!#REF!="Media",'Mapa final'!#REF!="Menor"),CONCATENATE("R3C",'Mapa final'!#REF!),"")</f>
        <v>#REF!</v>
      </c>
      <c r="U28" s="70" t="e">
        <f>IF(AND('Mapa final'!#REF!="Media",'Mapa final'!#REF!="Menor"),CONCATENATE("R3C",'Mapa final'!#REF!),"")</f>
        <v>#REF!</v>
      </c>
      <c r="V28" s="68" t="e">
        <f>IF(AND('Mapa final'!#REF!="Media",'Mapa final'!#REF!="Moderado"),CONCATENATE("R3C",'Mapa final'!#REF!),"")</f>
        <v>#REF!</v>
      </c>
      <c r="W28" s="69" t="str">
        <f>IF(AND('Mapa final'!$Y$11="Media",'Mapa final'!$AA$11="Moderado"),CONCATENATE("R3C",'Mapa final'!$O$11),"")</f>
        <v/>
      </c>
      <c r="X28" s="69" t="e">
        <f>IF(AND('Mapa final'!#REF!="Media",'Mapa final'!#REF!="Moderado"),CONCATENATE("R3C",'Mapa final'!#REF!),"")</f>
        <v>#REF!</v>
      </c>
      <c r="Y28" s="69" t="e">
        <f>IF(AND('Mapa final'!#REF!="Media",'Mapa final'!#REF!="Moderado"),CONCATENATE("R3C",'Mapa final'!#REF!),"")</f>
        <v>#REF!</v>
      </c>
      <c r="Z28" s="69" t="e">
        <f>IF(AND('Mapa final'!#REF!="Media",'Mapa final'!#REF!="Moderado"),CONCATENATE("R3C",'Mapa final'!#REF!),"")</f>
        <v>#REF!</v>
      </c>
      <c r="AA28" s="70" t="e">
        <f>IF(AND('Mapa final'!#REF!="Media",'Mapa final'!#REF!="Moderado"),CONCATENATE("R3C",'Mapa final'!#REF!),"")</f>
        <v>#REF!</v>
      </c>
      <c r="AB28" s="52" t="e">
        <f>IF(AND('Mapa final'!#REF!="Media",'Mapa final'!#REF!="Mayor"),CONCATENATE("R3C",'Mapa final'!#REF!),"")</f>
        <v>#REF!</v>
      </c>
      <c r="AC28" s="53" t="str">
        <f>IF(AND('Mapa final'!$Y$11="Media",'Mapa final'!$AA$11="Mayor"),CONCATENATE("R3C",'Mapa final'!$O$11),"")</f>
        <v/>
      </c>
      <c r="AD28" s="53" t="e">
        <f>IF(AND('Mapa final'!#REF!="Media",'Mapa final'!#REF!="Mayor"),CONCATENATE("R3C",'Mapa final'!#REF!),"")</f>
        <v>#REF!</v>
      </c>
      <c r="AE28" s="53" t="e">
        <f>IF(AND('Mapa final'!#REF!="Media",'Mapa final'!#REF!="Mayor"),CONCATENATE("R3C",'Mapa final'!#REF!),"")</f>
        <v>#REF!</v>
      </c>
      <c r="AF28" s="53" t="e">
        <f>IF(AND('Mapa final'!#REF!="Media",'Mapa final'!#REF!="Mayor"),CONCATENATE("R3C",'Mapa final'!#REF!),"")</f>
        <v>#REF!</v>
      </c>
      <c r="AG28" s="54" t="e">
        <f>IF(AND('Mapa final'!#REF!="Media",'Mapa final'!#REF!="Mayor"),CONCATENATE("R3C",'Mapa final'!#REF!),"")</f>
        <v>#REF!</v>
      </c>
      <c r="AH28" s="55" t="e">
        <f>IF(AND('Mapa final'!#REF!="Media",'Mapa final'!#REF!="Catastrófico"),CONCATENATE("R3C",'Mapa final'!#REF!),"")</f>
        <v>#REF!</v>
      </c>
      <c r="AI28" s="56" t="str">
        <f>IF(AND('Mapa final'!$Y$11="Media",'Mapa final'!$AA$11="Catastrófico"),CONCATENATE("R3C",'Mapa final'!$O$11),"")</f>
        <v/>
      </c>
      <c r="AJ28" s="56" t="e">
        <f>IF(AND('Mapa final'!#REF!="Media",'Mapa final'!#REF!="Catastrófico"),CONCATENATE("R3C",'Mapa final'!#REF!),"")</f>
        <v>#REF!</v>
      </c>
      <c r="AK28" s="56" t="e">
        <f>IF(AND('Mapa final'!#REF!="Media",'Mapa final'!#REF!="Catastrófico"),CONCATENATE("R3C",'Mapa final'!#REF!),"")</f>
        <v>#REF!</v>
      </c>
      <c r="AL28" s="56" t="e">
        <f>IF(AND('Mapa final'!#REF!="Media",'Mapa final'!#REF!="Catastrófico"),CONCATENATE("R3C",'Mapa final'!#REF!),"")</f>
        <v>#REF!</v>
      </c>
      <c r="AM28" s="57" t="e">
        <f>IF(AND('Mapa final'!#REF!="Media",'Mapa final'!#REF!="Catastrófico"),CONCATENATE("R3C",'Mapa final'!#REF!),"")</f>
        <v>#REF!</v>
      </c>
      <c r="AN28" s="84"/>
      <c r="AO28" s="426"/>
      <c r="AP28" s="427"/>
      <c r="AQ28" s="427"/>
      <c r="AR28" s="427"/>
      <c r="AS28" s="427"/>
      <c r="AT28" s="428"/>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x14ac:dyDescent="0.25">
      <c r="A29" s="84"/>
      <c r="B29" s="295"/>
      <c r="C29" s="295"/>
      <c r="D29" s="296"/>
      <c r="E29" s="396"/>
      <c r="F29" s="397"/>
      <c r="G29" s="397"/>
      <c r="H29" s="397"/>
      <c r="I29" s="412"/>
      <c r="J29" s="68" t="str">
        <f>IF(AND('Mapa final'!$Y$12="Media",'Mapa final'!$AA$12="Leve"),CONCATENATE("R4C",'Mapa final'!$O$12),"")</f>
        <v/>
      </c>
      <c r="K29" s="69" t="e">
        <f>IF(AND('Mapa final'!#REF!="Media",'Mapa final'!#REF!="Leve"),CONCATENATE("R4C",'Mapa final'!#REF!),"")</f>
        <v>#REF!</v>
      </c>
      <c r="L29" s="69" t="e">
        <f>IF(AND('Mapa final'!#REF!="Media",'Mapa final'!#REF!="Leve"),CONCATENATE("R4C",'Mapa final'!#REF!),"")</f>
        <v>#REF!</v>
      </c>
      <c r="M29" s="69" t="e">
        <f>IF(AND('Mapa final'!#REF!="Media",'Mapa final'!#REF!="Leve"),CONCATENATE("R4C",'Mapa final'!#REF!),"")</f>
        <v>#REF!</v>
      </c>
      <c r="N29" s="69" t="e">
        <f>IF(AND('Mapa final'!#REF!="Media",'Mapa final'!#REF!="Leve"),CONCATENATE("R4C",'Mapa final'!#REF!),"")</f>
        <v>#REF!</v>
      </c>
      <c r="O29" s="70" t="e">
        <f>IF(AND('Mapa final'!#REF!="Media",'Mapa final'!#REF!="Leve"),CONCATENATE("R4C",'Mapa final'!#REF!),"")</f>
        <v>#REF!</v>
      </c>
      <c r="P29" s="68" t="str">
        <f>IF(AND('Mapa final'!$Y$12="Media",'Mapa final'!$AA$12="Menor"),CONCATENATE("R4C",'Mapa final'!$O$12),"")</f>
        <v/>
      </c>
      <c r="Q29" s="69" t="e">
        <f>IF(AND('Mapa final'!#REF!="Media",'Mapa final'!#REF!="Menor"),CONCATENATE("R4C",'Mapa final'!#REF!),"")</f>
        <v>#REF!</v>
      </c>
      <c r="R29" s="69" t="e">
        <f>IF(AND('Mapa final'!#REF!="Media",'Mapa final'!#REF!="Menor"),CONCATENATE("R4C",'Mapa final'!#REF!),"")</f>
        <v>#REF!</v>
      </c>
      <c r="S29" s="69" t="e">
        <f>IF(AND('Mapa final'!#REF!="Media",'Mapa final'!#REF!="Menor"),CONCATENATE("R4C",'Mapa final'!#REF!),"")</f>
        <v>#REF!</v>
      </c>
      <c r="T29" s="69" t="e">
        <f>IF(AND('Mapa final'!#REF!="Media",'Mapa final'!#REF!="Menor"),CONCATENATE("R4C",'Mapa final'!#REF!),"")</f>
        <v>#REF!</v>
      </c>
      <c r="U29" s="70" t="e">
        <f>IF(AND('Mapa final'!#REF!="Media",'Mapa final'!#REF!="Menor"),CONCATENATE("R4C",'Mapa final'!#REF!),"")</f>
        <v>#REF!</v>
      </c>
      <c r="V29" s="68" t="str">
        <f>IF(AND('Mapa final'!$Y$12="Media",'Mapa final'!$AA$12="Moderado"),CONCATENATE("R4C",'Mapa final'!$O$12),"")</f>
        <v/>
      </c>
      <c r="W29" s="69" t="e">
        <f>IF(AND('Mapa final'!#REF!="Media",'Mapa final'!#REF!="Moderado"),CONCATENATE("R4C",'Mapa final'!#REF!),"")</f>
        <v>#REF!</v>
      </c>
      <c r="X29" s="69" t="e">
        <f>IF(AND('Mapa final'!#REF!="Media",'Mapa final'!#REF!="Moderado"),CONCATENATE("R4C",'Mapa final'!#REF!),"")</f>
        <v>#REF!</v>
      </c>
      <c r="Y29" s="69" t="e">
        <f>IF(AND('Mapa final'!#REF!="Media",'Mapa final'!#REF!="Moderado"),CONCATENATE("R4C",'Mapa final'!#REF!),"")</f>
        <v>#REF!</v>
      </c>
      <c r="Z29" s="69" t="e">
        <f>IF(AND('Mapa final'!#REF!="Media",'Mapa final'!#REF!="Moderado"),CONCATENATE("R4C",'Mapa final'!#REF!),"")</f>
        <v>#REF!</v>
      </c>
      <c r="AA29" s="70" t="e">
        <f>IF(AND('Mapa final'!#REF!="Media",'Mapa final'!#REF!="Moderado"),CONCATENATE("R4C",'Mapa final'!#REF!),"")</f>
        <v>#REF!</v>
      </c>
      <c r="AB29" s="52" t="str">
        <f>IF(AND('Mapa final'!$Y$12="Media",'Mapa final'!$AA$12="Mayor"),CONCATENATE("R4C",'Mapa final'!$O$12),"")</f>
        <v>R4C1</v>
      </c>
      <c r="AC29" s="53" t="e">
        <f>IF(AND('Mapa final'!#REF!="Media",'Mapa final'!#REF!="Mayor"),CONCATENATE("R4C",'Mapa final'!#REF!),"")</f>
        <v>#REF!</v>
      </c>
      <c r="AD29" s="58" t="e">
        <f>IF(AND('Mapa final'!#REF!="Media",'Mapa final'!#REF!="Mayor"),CONCATENATE("R4C",'Mapa final'!#REF!),"")</f>
        <v>#REF!</v>
      </c>
      <c r="AE29" s="58" t="e">
        <f>IF(AND('Mapa final'!#REF!="Media",'Mapa final'!#REF!="Mayor"),CONCATENATE("R4C",'Mapa final'!#REF!),"")</f>
        <v>#REF!</v>
      </c>
      <c r="AF29" s="58" t="e">
        <f>IF(AND('Mapa final'!#REF!="Media",'Mapa final'!#REF!="Mayor"),CONCATENATE("R4C",'Mapa final'!#REF!),"")</f>
        <v>#REF!</v>
      </c>
      <c r="AG29" s="54" t="e">
        <f>IF(AND('Mapa final'!#REF!="Media",'Mapa final'!#REF!="Mayor"),CONCATENATE("R4C",'Mapa final'!#REF!),"")</f>
        <v>#REF!</v>
      </c>
      <c r="AH29" s="55" t="str">
        <f>IF(AND('Mapa final'!$Y$12="Media",'Mapa final'!$AA$12="Catastrófico"),CONCATENATE("R4C",'Mapa final'!$O$12),"")</f>
        <v/>
      </c>
      <c r="AI29" s="56" t="e">
        <f>IF(AND('Mapa final'!#REF!="Media",'Mapa final'!#REF!="Catastrófico"),CONCATENATE("R4C",'Mapa final'!#REF!),"")</f>
        <v>#REF!</v>
      </c>
      <c r="AJ29" s="56" t="e">
        <f>IF(AND('Mapa final'!#REF!="Media",'Mapa final'!#REF!="Catastrófico"),CONCATENATE("R4C",'Mapa final'!#REF!),"")</f>
        <v>#REF!</v>
      </c>
      <c r="AK29" s="56" t="e">
        <f>IF(AND('Mapa final'!#REF!="Media",'Mapa final'!#REF!="Catastrófico"),CONCATENATE("R4C",'Mapa final'!#REF!),"")</f>
        <v>#REF!</v>
      </c>
      <c r="AL29" s="56" t="e">
        <f>IF(AND('Mapa final'!#REF!="Media",'Mapa final'!#REF!="Catastrófico"),CONCATENATE("R4C",'Mapa final'!#REF!),"")</f>
        <v>#REF!</v>
      </c>
      <c r="AM29" s="57" t="e">
        <f>IF(AND('Mapa final'!#REF!="Media",'Mapa final'!#REF!="Catastrófico"),CONCATENATE("R4C",'Mapa final'!#REF!),"")</f>
        <v>#REF!</v>
      </c>
      <c r="AN29" s="84"/>
      <c r="AO29" s="426"/>
      <c r="AP29" s="427"/>
      <c r="AQ29" s="427"/>
      <c r="AR29" s="427"/>
      <c r="AS29" s="427"/>
      <c r="AT29" s="428"/>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x14ac:dyDescent="0.25">
      <c r="A30" s="84"/>
      <c r="B30" s="295"/>
      <c r="C30" s="295"/>
      <c r="D30" s="296"/>
      <c r="E30" s="396"/>
      <c r="F30" s="397"/>
      <c r="G30" s="397"/>
      <c r="H30" s="397"/>
      <c r="I30" s="412"/>
      <c r="J30" s="68" t="e">
        <f>IF(AND('Mapa final'!#REF!="Media",'Mapa final'!#REF!="Leve"),CONCATENATE("R5C",'Mapa final'!#REF!),"")</f>
        <v>#REF!</v>
      </c>
      <c r="K30" s="69" t="e">
        <f>IF(AND('Mapa final'!#REF!="Media",'Mapa final'!#REF!="Leve"),CONCATENATE("R5C",'Mapa final'!#REF!),"")</f>
        <v>#REF!</v>
      </c>
      <c r="L30" s="69" t="e">
        <f>IF(AND('Mapa final'!#REF!="Media",'Mapa final'!#REF!="Leve"),CONCATENATE("R5C",'Mapa final'!#REF!),"")</f>
        <v>#REF!</v>
      </c>
      <c r="M30" s="69" t="e">
        <f>IF(AND('Mapa final'!#REF!="Media",'Mapa final'!#REF!="Leve"),CONCATENATE("R5C",'Mapa final'!#REF!),"")</f>
        <v>#REF!</v>
      </c>
      <c r="N30" s="69" t="e">
        <f>IF(AND('Mapa final'!#REF!="Media",'Mapa final'!#REF!="Leve"),CONCATENATE("R5C",'Mapa final'!#REF!),"")</f>
        <v>#REF!</v>
      </c>
      <c r="O30" s="70" t="e">
        <f>IF(AND('Mapa final'!#REF!="Media",'Mapa final'!#REF!="Leve"),CONCATENATE("R5C",'Mapa final'!#REF!),"")</f>
        <v>#REF!</v>
      </c>
      <c r="P30" s="68" t="e">
        <f>IF(AND('Mapa final'!#REF!="Media",'Mapa final'!#REF!="Menor"),CONCATENATE("R5C",'Mapa final'!#REF!),"")</f>
        <v>#REF!</v>
      </c>
      <c r="Q30" s="69" t="e">
        <f>IF(AND('Mapa final'!#REF!="Media",'Mapa final'!#REF!="Menor"),CONCATENATE("R5C",'Mapa final'!#REF!),"")</f>
        <v>#REF!</v>
      </c>
      <c r="R30" s="69" t="e">
        <f>IF(AND('Mapa final'!#REF!="Media",'Mapa final'!#REF!="Menor"),CONCATENATE("R5C",'Mapa final'!#REF!),"")</f>
        <v>#REF!</v>
      </c>
      <c r="S30" s="69" t="e">
        <f>IF(AND('Mapa final'!#REF!="Media",'Mapa final'!#REF!="Menor"),CONCATENATE("R5C",'Mapa final'!#REF!),"")</f>
        <v>#REF!</v>
      </c>
      <c r="T30" s="69" t="e">
        <f>IF(AND('Mapa final'!#REF!="Media",'Mapa final'!#REF!="Menor"),CONCATENATE("R5C",'Mapa final'!#REF!),"")</f>
        <v>#REF!</v>
      </c>
      <c r="U30" s="70" t="e">
        <f>IF(AND('Mapa final'!#REF!="Media",'Mapa final'!#REF!="Menor"),CONCATENATE("R5C",'Mapa final'!#REF!),"")</f>
        <v>#REF!</v>
      </c>
      <c r="V30" s="68" t="e">
        <f>IF(AND('Mapa final'!#REF!="Media",'Mapa final'!#REF!="Moderado"),CONCATENATE("R5C",'Mapa final'!#REF!),"")</f>
        <v>#REF!</v>
      </c>
      <c r="W30" s="69" t="e">
        <f>IF(AND('Mapa final'!#REF!="Media",'Mapa final'!#REF!="Moderado"),CONCATENATE("R5C",'Mapa final'!#REF!),"")</f>
        <v>#REF!</v>
      </c>
      <c r="X30" s="69" t="e">
        <f>IF(AND('Mapa final'!#REF!="Media",'Mapa final'!#REF!="Moderado"),CONCATENATE("R5C",'Mapa final'!#REF!),"")</f>
        <v>#REF!</v>
      </c>
      <c r="Y30" s="69" t="e">
        <f>IF(AND('Mapa final'!#REF!="Media",'Mapa final'!#REF!="Moderado"),CONCATENATE("R5C",'Mapa final'!#REF!),"")</f>
        <v>#REF!</v>
      </c>
      <c r="Z30" s="69" t="e">
        <f>IF(AND('Mapa final'!#REF!="Media",'Mapa final'!#REF!="Moderado"),CONCATENATE("R5C",'Mapa final'!#REF!),"")</f>
        <v>#REF!</v>
      </c>
      <c r="AA30" s="70" t="e">
        <f>IF(AND('Mapa final'!#REF!="Media",'Mapa final'!#REF!="Moderado"),CONCATENATE("R5C",'Mapa final'!#REF!),"")</f>
        <v>#REF!</v>
      </c>
      <c r="AB30" s="52" t="e">
        <f>IF(AND('Mapa final'!#REF!="Media",'Mapa final'!#REF!="Mayor"),CONCATENATE("R5C",'Mapa final'!#REF!),"")</f>
        <v>#REF!</v>
      </c>
      <c r="AC30" s="53" t="e">
        <f>IF(AND('Mapa final'!#REF!="Media",'Mapa final'!#REF!="Mayor"),CONCATENATE("R5C",'Mapa final'!#REF!),"")</f>
        <v>#REF!</v>
      </c>
      <c r="AD30" s="58" t="e">
        <f>IF(AND('Mapa final'!#REF!="Media",'Mapa final'!#REF!="Mayor"),CONCATENATE("R5C",'Mapa final'!#REF!),"")</f>
        <v>#REF!</v>
      </c>
      <c r="AE30" s="58" t="e">
        <f>IF(AND('Mapa final'!#REF!="Media",'Mapa final'!#REF!="Mayor"),CONCATENATE("R5C",'Mapa final'!#REF!),"")</f>
        <v>#REF!</v>
      </c>
      <c r="AF30" s="58" t="e">
        <f>IF(AND('Mapa final'!#REF!="Media",'Mapa final'!#REF!="Mayor"),CONCATENATE("R5C",'Mapa final'!#REF!),"")</f>
        <v>#REF!</v>
      </c>
      <c r="AG30" s="54" t="e">
        <f>IF(AND('Mapa final'!#REF!="Media",'Mapa final'!#REF!="Mayor"),CONCATENATE("R5C",'Mapa final'!#REF!),"")</f>
        <v>#REF!</v>
      </c>
      <c r="AH30" s="55" t="e">
        <f>IF(AND('Mapa final'!#REF!="Media",'Mapa final'!#REF!="Catastrófico"),CONCATENATE("R5C",'Mapa final'!#REF!),"")</f>
        <v>#REF!</v>
      </c>
      <c r="AI30" s="56" t="e">
        <f>IF(AND('Mapa final'!#REF!="Media",'Mapa final'!#REF!="Catastrófico"),CONCATENATE("R5C",'Mapa final'!#REF!),"")</f>
        <v>#REF!</v>
      </c>
      <c r="AJ30" s="56" t="e">
        <f>IF(AND('Mapa final'!#REF!="Media",'Mapa final'!#REF!="Catastrófico"),CONCATENATE("R5C",'Mapa final'!#REF!),"")</f>
        <v>#REF!</v>
      </c>
      <c r="AK30" s="56" t="e">
        <f>IF(AND('Mapa final'!#REF!="Media",'Mapa final'!#REF!="Catastrófico"),CONCATENATE("R5C",'Mapa final'!#REF!),"")</f>
        <v>#REF!</v>
      </c>
      <c r="AL30" s="56" t="e">
        <f>IF(AND('Mapa final'!#REF!="Media",'Mapa final'!#REF!="Catastrófico"),CONCATENATE("R5C",'Mapa final'!#REF!),"")</f>
        <v>#REF!</v>
      </c>
      <c r="AM30" s="57" t="e">
        <f>IF(AND('Mapa final'!#REF!="Media",'Mapa final'!#REF!="Catastrófico"),CONCATENATE("R5C",'Mapa final'!#REF!),"")</f>
        <v>#REF!</v>
      </c>
      <c r="AN30" s="84"/>
      <c r="AO30" s="426"/>
      <c r="AP30" s="427"/>
      <c r="AQ30" s="427"/>
      <c r="AR30" s="427"/>
      <c r="AS30" s="427"/>
      <c r="AT30" s="428"/>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x14ac:dyDescent="0.25">
      <c r="A31" s="84"/>
      <c r="B31" s="295"/>
      <c r="C31" s="295"/>
      <c r="D31" s="296"/>
      <c r="E31" s="396"/>
      <c r="F31" s="397"/>
      <c r="G31" s="397"/>
      <c r="H31" s="397"/>
      <c r="I31" s="412"/>
      <c r="J31" s="68" t="str">
        <f>IF(AND('Mapa final'!$Y$13="Media",'Mapa final'!$AA$13="Leve"),CONCATENATE("R6C",'Mapa final'!$O$13),"")</f>
        <v/>
      </c>
      <c r="K31" s="69" t="str">
        <f>IF(AND('Mapa final'!$Y$14="Media",'Mapa final'!$AA$14="Leve"),CONCATENATE("R6C",'Mapa final'!$O$14),"")</f>
        <v/>
      </c>
      <c r="L31" s="69" t="str">
        <f>IF(AND('Mapa final'!$Y$15="Media",'Mapa final'!$AA$15="Leve"),CONCATENATE("R6C",'Mapa final'!$O$15),"")</f>
        <v/>
      </c>
      <c r="M31" s="69" t="str">
        <f>IF(AND('Mapa final'!$Y$16="Media",'Mapa final'!$AA$16="Leve"),CONCATENATE("R6C",'Mapa final'!$O$16),"")</f>
        <v/>
      </c>
      <c r="N31" s="69" t="str">
        <f>IF(AND('Mapa final'!$Y$17="Media",'Mapa final'!$AA$17="Leve"),CONCATENATE("R6C",'Mapa final'!$O$17),"")</f>
        <v/>
      </c>
      <c r="O31" s="70" t="str">
        <f>IF(AND('Mapa final'!$Y$18="Media",'Mapa final'!$AA$18="Leve"),CONCATENATE("R6C",'Mapa final'!$O$18),"")</f>
        <v/>
      </c>
      <c r="P31" s="68" t="str">
        <f>IF(AND('Mapa final'!$Y$13="Media",'Mapa final'!$AA$13="Menor"),CONCATENATE("R6C",'Mapa final'!$O$13),"")</f>
        <v/>
      </c>
      <c r="Q31" s="69" t="str">
        <f>IF(AND('Mapa final'!$Y$14="Media",'Mapa final'!$AA$14="Menor"),CONCATENATE("R6C",'Mapa final'!$O$14),"")</f>
        <v/>
      </c>
      <c r="R31" s="69" t="str">
        <f>IF(AND('Mapa final'!$Y$15="Media",'Mapa final'!$AA$15="Menor"),CONCATENATE("R6C",'Mapa final'!$O$15),"")</f>
        <v/>
      </c>
      <c r="S31" s="69" t="str">
        <f>IF(AND('Mapa final'!$Y$16="Media",'Mapa final'!$AA$16="Menor"),CONCATENATE("R6C",'Mapa final'!$O$16),"")</f>
        <v/>
      </c>
      <c r="T31" s="69" t="str">
        <f>IF(AND('Mapa final'!$Y$17="Media",'Mapa final'!$AA$17="Menor"),CONCATENATE("R6C",'Mapa final'!$O$17),"")</f>
        <v/>
      </c>
      <c r="U31" s="70" t="str">
        <f>IF(AND('Mapa final'!$Y$18="Media",'Mapa final'!$AA$18="Menor"),CONCATENATE("R6C",'Mapa final'!$O$18),"")</f>
        <v/>
      </c>
      <c r="V31" s="68" t="str">
        <f>IF(AND('Mapa final'!$Y$13="Media",'Mapa final'!$AA$13="Moderado"),CONCATENATE("R6C",'Mapa final'!$O$13),"")</f>
        <v/>
      </c>
      <c r="W31" s="69" t="str">
        <f>IF(AND('Mapa final'!$Y$14="Media",'Mapa final'!$AA$14="Moderado"),CONCATENATE("R6C",'Mapa final'!$O$14),"")</f>
        <v/>
      </c>
      <c r="X31" s="69" t="str">
        <f>IF(AND('Mapa final'!$Y$15="Media",'Mapa final'!$AA$15="Moderado"),CONCATENATE("R6C",'Mapa final'!$O$15),"")</f>
        <v/>
      </c>
      <c r="Y31" s="69" t="str">
        <f>IF(AND('Mapa final'!$Y$16="Media",'Mapa final'!$AA$16="Moderado"),CONCATENATE("R6C",'Mapa final'!$O$16),"")</f>
        <v/>
      </c>
      <c r="Z31" s="69" t="str">
        <f>IF(AND('Mapa final'!$Y$17="Media",'Mapa final'!$AA$17="Moderado"),CONCATENATE("R6C",'Mapa final'!$O$17),"")</f>
        <v/>
      </c>
      <c r="AA31" s="70" t="str">
        <f>IF(AND('Mapa final'!$Y$18="Media",'Mapa final'!$AA$18="Moderado"),CONCATENATE("R6C",'Mapa final'!$O$18),"")</f>
        <v/>
      </c>
      <c r="AB31" s="52" t="str">
        <f>IF(AND('Mapa final'!$Y$13="Media",'Mapa final'!$AA$13="Mayor"),CONCATENATE("R6C",'Mapa final'!$O$13),"")</f>
        <v/>
      </c>
      <c r="AC31" s="53" t="str">
        <f>IF(AND('Mapa final'!$Y$14="Media",'Mapa final'!$AA$14="Mayor"),CONCATENATE("R6C",'Mapa final'!$O$14),"")</f>
        <v/>
      </c>
      <c r="AD31" s="58" t="str">
        <f>IF(AND('Mapa final'!$Y$15="Media",'Mapa final'!$AA$15="Mayor"),CONCATENATE("R6C",'Mapa final'!$O$15),"")</f>
        <v/>
      </c>
      <c r="AE31" s="58" t="str">
        <f>IF(AND('Mapa final'!$Y$16="Media",'Mapa final'!$AA$16="Mayor"),CONCATENATE("R6C",'Mapa final'!$O$16),"")</f>
        <v/>
      </c>
      <c r="AF31" s="58" t="str">
        <f>IF(AND('Mapa final'!$Y$17="Media",'Mapa final'!$AA$17="Mayor"),CONCATENATE("R6C",'Mapa final'!$O$17),"")</f>
        <v/>
      </c>
      <c r="AG31" s="54" t="str">
        <f>IF(AND('Mapa final'!$Y$18="Media",'Mapa final'!$AA$18="Mayor"),CONCATENATE("R6C",'Mapa final'!$O$18),"")</f>
        <v/>
      </c>
      <c r="AH31" s="55" t="str">
        <f>IF(AND('Mapa final'!$Y$13="Media",'Mapa final'!$AA$13="Catastrófico"),CONCATENATE("R6C",'Mapa final'!$O$13),"")</f>
        <v/>
      </c>
      <c r="AI31" s="56" t="str">
        <f>IF(AND('Mapa final'!$Y$14="Media",'Mapa final'!$AA$14="Catastrófico"),CONCATENATE("R6C",'Mapa final'!$O$14),"")</f>
        <v/>
      </c>
      <c r="AJ31" s="56" t="str">
        <f>IF(AND('Mapa final'!$Y$15="Media",'Mapa final'!$AA$15="Catastrófico"),CONCATENATE("R6C",'Mapa final'!$O$15),"")</f>
        <v/>
      </c>
      <c r="AK31" s="56" t="str">
        <f>IF(AND('Mapa final'!$Y$16="Media",'Mapa final'!$AA$16="Catastrófico"),CONCATENATE("R6C",'Mapa final'!$O$16),"")</f>
        <v/>
      </c>
      <c r="AL31" s="56" t="str">
        <f>IF(AND('Mapa final'!$Y$17="Media",'Mapa final'!$AA$17="Catastrófico"),CONCATENATE("R6C",'Mapa final'!$O$17),"")</f>
        <v/>
      </c>
      <c r="AM31" s="57" t="str">
        <f>IF(AND('Mapa final'!$Y$18="Media",'Mapa final'!$AA$18="Catastrófico"),CONCATENATE("R6C",'Mapa final'!$O$18),"")</f>
        <v/>
      </c>
      <c r="AN31" s="84"/>
      <c r="AO31" s="426"/>
      <c r="AP31" s="427"/>
      <c r="AQ31" s="427"/>
      <c r="AR31" s="427"/>
      <c r="AS31" s="427"/>
      <c r="AT31" s="428"/>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x14ac:dyDescent="0.25">
      <c r="A32" s="84"/>
      <c r="B32" s="295"/>
      <c r="C32" s="295"/>
      <c r="D32" s="296"/>
      <c r="E32" s="396"/>
      <c r="F32" s="397"/>
      <c r="G32" s="397"/>
      <c r="H32" s="397"/>
      <c r="I32" s="412"/>
      <c r="J32" s="68" t="str">
        <f>IF(AND('Mapa final'!$Y$19="Media",'Mapa final'!$AA$19="Leve"),CONCATENATE("R7C",'Mapa final'!$O$19),"")</f>
        <v/>
      </c>
      <c r="K32" s="69" t="str">
        <f>IF(AND('Mapa final'!$Y$20="Media",'Mapa final'!$AA$20="Leve"),CONCATENATE("R7C",'Mapa final'!$O$20),"")</f>
        <v/>
      </c>
      <c r="L32" s="69" t="str">
        <f>IF(AND('Mapa final'!$Y$21="Media",'Mapa final'!$AA$21="Leve"),CONCATENATE("R7C",'Mapa final'!$O$21),"")</f>
        <v/>
      </c>
      <c r="M32" s="69" t="str">
        <f>IF(AND('Mapa final'!$Y$22="Media",'Mapa final'!$AA$22="Leve"),CONCATENATE("R7C",'Mapa final'!$O$22),"")</f>
        <v/>
      </c>
      <c r="N32" s="69" t="str">
        <f>IF(AND('Mapa final'!$Y$23="Media",'Mapa final'!$AA$23="Leve"),CONCATENATE("R7C",'Mapa final'!$O$23),"")</f>
        <v/>
      </c>
      <c r="O32" s="70" t="str">
        <f>IF(AND('Mapa final'!$Y$24="Media",'Mapa final'!$AA$24="Leve"),CONCATENATE("R7C",'Mapa final'!$O$24),"")</f>
        <v/>
      </c>
      <c r="P32" s="68" t="str">
        <f>IF(AND('Mapa final'!$Y$19="Media",'Mapa final'!$AA$19="Menor"),CONCATENATE("R7C",'Mapa final'!$O$19),"")</f>
        <v>R7C1</v>
      </c>
      <c r="Q32" s="69" t="str">
        <f>IF(AND('Mapa final'!$Y$20="Media",'Mapa final'!$AA$20="Menor"),CONCATENATE("R7C",'Mapa final'!$O$20),"")</f>
        <v/>
      </c>
      <c r="R32" s="69" t="str">
        <f>IF(AND('Mapa final'!$Y$21="Media",'Mapa final'!$AA$21="Menor"),CONCATENATE("R7C",'Mapa final'!$O$21),"")</f>
        <v/>
      </c>
      <c r="S32" s="69" t="str">
        <f>IF(AND('Mapa final'!$Y$22="Media",'Mapa final'!$AA$22="Menor"),CONCATENATE("R7C",'Mapa final'!$O$22),"")</f>
        <v/>
      </c>
      <c r="T32" s="69" t="str">
        <f>IF(AND('Mapa final'!$Y$23="Media",'Mapa final'!$AA$23="Menor"),CONCATENATE("R7C",'Mapa final'!$O$23),"")</f>
        <v/>
      </c>
      <c r="U32" s="70" t="str">
        <f>IF(AND('Mapa final'!$Y$24="Media",'Mapa final'!$AA$24="Menor"),CONCATENATE("R7C",'Mapa final'!$O$24),"")</f>
        <v/>
      </c>
      <c r="V32" s="68" t="str">
        <f>IF(AND('Mapa final'!$Y$19="Media",'Mapa final'!$AA$19="Moderado"),CONCATENATE("R7C",'Mapa final'!$O$19),"")</f>
        <v/>
      </c>
      <c r="W32" s="69" t="str">
        <f>IF(AND('Mapa final'!$Y$20="Media",'Mapa final'!$AA$20="Moderado"),CONCATENATE("R7C",'Mapa final'!$O$20),"")</f>
        <v/>
      </c>
      <c r="X32" s="69" t="str">
        <f>IF(AND('Mapa final'!$Y$21="Media",'Mapa final'!$AA$21="Moderado"),CONCATENATE("R7C",'Mapa final'!$O$21),"")</f>
        <v/>
      </c>
      <c r="Y32" s="69" t="str">
        <f>IF(AND('Mapa final'!$Y$22="Media",'Mapa final'!$AA$22="Moderado"),CONCATENATE("R7C",'Mapa final'!$O$22),"")</f>
        <v/>
      </c>
      <c r="Z32" s="69" t="str">
        <f>IF(AND('Mapa final'!$Y$23="Media",'Mapa final'!$AA$23="Moderado"),CONCATENATE("R7C",'Mapa final'!$O$23),"")</f>
        <v/>
      </c>
      <c r="AA32" s="70" t="str">
        <f>IF(AND('Mapa final'!$Y$24="Media",'Mapa final'!$AA$24="Moderado"),CONCATENATE("R7C",'Mapa final'!$O$24),"")</f>
        <v/>
      </c>
      <c r="AB32" s="52" t="str">
        <f>IF(AND('Mapa final'!$Y$19="Media",'Mapa final'!$AA$19="Mayor"),CONCATENATE("R7C",'Mapa final'!$O$19),"")</f>
        <v/>
      </c>
      <c r="AC32" s="53" t="str">
        <f>IF(AND('Mapa final'!$Y$20="Media",'Mapa final'!$AA$20="Mayor"),CONCATENATE("R7C",'Mapa final'!$O$20),"")</f>
        <v/>
      </c>
      <c r="AD32" s="58" t="str">
        <f>IF(AND('Mapa final'!$Y$21="Media",'Mapa final'!$AA$21="Mayor"),CONCATENATE("R7C",'Mapa final'!$O$21),"")</f>
        <v/>
      </c>
      <c r="AE32" s="58" t="str">
        <f>IF(AND('Mapa final'!$Y$22="Media",'Mapa final'!$AA$22="Mayor"),CONCATENATE("R7C",'Mapa final'!$O$22),"")</f>
        <v/>
      </c>
      <c r="AF32" s="58" t="str">
        <f>IF(AND('Mapa final'!$Y$23="Media",'Mapa final'!$AA$23="Mayor"),CONCATENATE("R7C",'Mapa final'!$O$23),"")</f>
        <v/>
      </c>
      <c r="AG32" s="54" t="str">
        <f>IF(AND('Mapa final'!$Y$24="Media",'Mapa final'!$AA$24="Mayor"),CONCATENATE("R7C",'Mapa final'!$O$24),"")</f>
        <v/>
      </c>
      <c r="AH32" s="55" t="str">
        <f>IF(AND('Mapa final'!$Y$19="Media",'Mapa final'!$AA$19="Catastrófico"),CONCATENATE("R7C",'Mapa final'!$O$19),"")</f>
        <v/>
      </c>
      <c r="AI32" s="56" t="str">
        <f>IF(AND('Mapa final'!$Y$20="Media",'Mapa final'!$AA$20="Catastrófico"),CONCATENATE("R7C",'Mapa final'!$O$20),"")</f>
        <v/>
      </c>
      <c r="AJ32" s="56" t="str">
        <f>IF(AND('Mapa final'!$Y$21="Media",'Mapa final'!$AA$21="Catastrófico"),CONCATENATE("R7C",'Mapa final'!$O$21),"")</f>
        <v/>
      </c>
      <c r="AK32" s="56" t="str">
        <f>IF(AND('Mapa final'!$Y$22="Media",'Mapa final'!$AA$22="Catastrófico"),CONCATENATE("R7C",'Mapa final'!$O$22),"")</f>
        <v/>
      </c>
      <c r="AL32" s="56" t="str">
        <f>IF(AND('Mapa final'!$Y$23="Media",'Mapa final'!$AA$23="Catastrófico"),CONCATENATE("R7C",'Mapa final'!$O$23),"")</f>
        <v/>
      </c>
      <c r="AM32" s="57" t="str">
        <f>IF(AND('Mapa final'!$Y$24="Media",'Mapa final'!$AA$24="Catastrófico"),CONCATENATE("R7C",'Mapa final'!$O$24),"")</f>
        <v/>
      </c>
      <c r="AN32" s="84"/>
      <c r="AO32" s="426"/>
      <c r="AP32" s="427"/>
      <c r="AQ32" s="427"/>
      <c r="AR32" s="427"/>
      <c r="AS32" s="427"/>
      <c r="AT32" s="428"/>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x14ac:dyDescent="0.25">
      <c r="A33" s="84"/>
      <c r="B33" s="295"/>
      <c r="C33" s="295"/>
      <c r="D33" s="296"/>
      <c r="E33" s="396"/>
      <c r="F33" s="397"/>
      <c r="G33" s="397"/>
      <c r="H33" s="397"/>
      <c r="I33" s="412"/>
      <c r="J33" s="68" t="str">
        <f>IF(AND('Mapa final'!$Y$25="Media",'Mapa final'!$AA$25="Leve"),CONCATENATE("R8C",'Mapa final'!$O$25),"")</f>
        <v/>
      </c>
      <c r="K33" s="69" t="str">
        <f>IF(AND('Mapa final'!$Y$26="Media",'Mapa final'!$AA$26="Leve"),CONCATENATE("R8C",'Mapa final'!$O$26),"")</f>
        <v/>
      </c>
      <c r="L33" s="69" t="str">
        <f>IF(AND('Mapa final'!$Y$27="Media",'Mapa final'!$AA$27="Leve"),CONCATENATE("R8C",'Mapa final'!$O$27),"")</f>
        <v/>
      </c>
      <c r="M33" s="69" t="str">
        <f>IF(AND('Mapa final'!$Y$28="Media",'Mapa final'!$AA$28="Leve"),CONCATENATE("R8C",'Mapa final'!$O$28),"")</f>
        <v/>
      </c>
      <c r="N33" s="69" t="str">
        <f>IF(AND('Mapa final'!$Y$29="Media",'Mapa final'!$AA$29="Leve"),CONCATENATE("R8C",'Mapa final'!$O$29),"")</f>
        <v/>
      </c>
      <c r="O33" s="70" t="str">
        <f>IF(AND('Mapa final'!$Y$30="Media",'Mapa final'!$AA$30="Leve"),CONCATENATE("R8C",'Mapa final'!$O$30),"")</f>
        <v/>
      </c>
      <c r="P33" s="68" t="str">
        <f>IF(AND('Mapa final'!$Y$25="Media",'Mapa final'!$AA$25="Menor"),CONCATENATE("R8C",'Mapa final'!$O$25),"")</f>
        <v/>
      </c>
      <c r="Q33" s="69" t="str">
        <f>IF(AND('Mapa final'!$Y$26="Media",'Mapa final'!$AA$26="Menor"),CONCATENATE("R8C",'Mapa final'!$O$26),"")</f>
        <v/>
      </c>
      <c r="R33" s="69" t="str">
        <f>IF(AND('Mapa final'!$Y$27="Media",'Mapa final'!$AA$27="Menor"),CONCATENATE("R8C",'Mapa final'!$O$27),"")</f>
        <v/>
      </c>
      <c r="S33" s="69" t="str">
        <f>IF(AND('Mapa final'!$Y$28="Media",'Mapa final'!$AA$28="Menor"),CONCATENATE("R8C",'Mapa final'!$O$28),"")</f>
        <v/>
      </c>
      <c r="T33" s="69" t="str">
        <f>IF(AND('Mapa final'!$Y$29="Media",'Mapa final'!$AA$29="Menor"),CONCATENATE("R8C",'Mapa final'!$O$29),"")</f>
        <v/>
      </c>
      <c r="U33" s="70" t="str">
        <f>IF(AND('Mapa final'!$Y$30="Media",'Mapa final'!$AA$30="Menor"),CONCATENATE("R8C",'Mapa final'!$O$30),"")</f>
        <v/>
      </c>
      <c r="V33" s="68" t="str">
        <f>IF(AND('Mapa final'!$Y$25="Media",'Mapa final'!$AA$25="Moderado"),CONCATENATE("R8C",'Mapa final'!$O$25),"")</f>
        <v/>
      </c>
      <c r="W33" s="69" t="str">
        <f>IF(AND('Mapa final'!$Y$26="Media",'Mapa final'!$AA$26="Moderado"),CONCATENATE("R8C",'Mapa final'!$O$26),"")</f>
        <v/>
      </c>
      <c r="X33" s="69" t="str">
        <f>IF(AND('Mapa final'!$Y$27="Media",'Mapa final'!$AA$27="Moderado"),CONCATENATE("R8C",'Mapa final'!$O$27),"")</f>
        <v/>
      </c>
      <c r="Y33" s="69" t="str">
        <f>IF(AND('Mapa final'!$Y$28="Media",'Mapa final'!$AA$28="Moderado"),CONCATENATE("R8C",'Mapa final'!$O$28),"")</f>
        <v/>
      </c>
      <c r="Z33" s="69" t="str">
        <f>IF(AND('Mapa final'!$Y$29="Media",'Mapa final'!$AA$29="Moderado"),CONCATENATE("R8C",'Mapa final'!$O$29),"")</f>
        <v/>
      </c>
      <c r="AA33" s="70" t="str">
        <f>IF(AND('Mapa final'!$Y$30="Media",'Mapa final'!$AA$30="Moderado"),CONCATENATE("R8C",'Mapa final'!$O$30),"")</f>
        <v/>
      </c>
      <c r="AB33" s="52" t="str">
        <f>IF(AND('Mapa final'!$Y$25="Media",'Mapa final'!$AA$25="Mayor"),CONCATENATE("R8C",'Mapa final'!$O$25),"")</f>
        <v/>
      </c>
      <c r="AC33" s="53" t="str">
        <f>IF(AND('Mapa final'!$Y$26="Media",'Mapa final'!$AA$26="Mayor"),CONCATENATE("R8C",'Mapa final'!$O$26),"")</f>
        <v/>
      </c>
      <c r="AD33" s="58" t="str">
        <f>IF(AND('Mapa final'!$Y$27="Media",'Mapa final'!$AA$27="Mayor"),CONCATENATE("R8C",'Mapa final'!$O$27),"")</f>
        <v/>
      </c>
      <c r="AE33" s="58" t="str">
        <f>IF(AND('Mapa final'!$Y$28="Media",'Mapa final'!$AA$28="Mayor"),CONCATENATE("R8C",'Mapa final'!$O$28),"")</f>
        <v/>
      </c>
      <c r="AF33" s="58" t="str">
        <f>IF(AND('Mapa final'!$Y$29="Media",'Mapa final'!$AA$29="Mayor"),CONCATENATE("R8C",'Mapa final'!$O$29),"")</f>
        <v/>
      </c>
      <c r="AG33" s="54" t="str">
        <f>IF(AND('Mapa final'!$Y$30="Media",'Mapa final'!$AA$30="Mayor"),CONCATENATE("R8C",'Mapa final'!$O$30),"")</f>
        <v/>
      </c>
      <c r="AH33" s="55" t="str">
        <f>IF(AND('Mapa final'!$Y$25="Media",'Mapa final'!$AA$25="Catastrófico"),CONCATENATE("R8C",'Mapa final'!$O$25),"")</f>
        <v/>
      </c>
      <c r="AI33" s="56" t="str">
        <f>IF(AND('Mapa final'!$Y$26="Media",'Mapa final'!$AA$26="Catastrófico"),CONCATENATE("R8C",'Mapa final'!$O$26),"")</f>
        <v/>
      </c>
      <c r="AJ33" s="56" t="str">
        <f>IF(AND('Mapa final'!$Y$27="Media",'Mapa final'!$AA$27="Catastrófico"),CONCATENATE("R8C",'Mapa final'!$O$27),"")</f>
        <v/>
      </c>
      <c r="AK33" s="56" t="str">
        <f>IF(AND('Mapa final'!$Y$28="Media",'Mapa final'!$AA$28="Catastrófico"),CONCATENATE("R8C",'Mapa final'!$O$28),"")</f>
        <v/>
      </c>
      <c r="AL33" s="56" t="str">
        <f>IF(AND('Mapa final'!$Y$29="Media",'Mapa final'!$AA$29="Catastrófico"),CONCATENATE("R8C",'Mapa final'!$O$29),"")</f>
        <v/>
      </c>
      <c r="AM33" s="57" t="str">
        <f>IF(AND('Mapa final'!$Y$30="Media",'Mapa final'!$AA$30="Catastrófico"),CONCATENATE("R8C",'Mapa final'!$O$30),"")</f>
        <v/>
      </c>
      <c r="AN33" s="84"/>
      <c r="AO33" s="426"/>
      <c r="AP33" s="427"/>
      <c r="AQ33" s="427"/>
      <c r="AR33" s="427"/>
      <c r="AS33" s="427"/>
      <c r="AT33" s="428"/>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x14ac:dyDescent="0.25">
      <c r="A34" s="84"/>
      <c r="B34" s="295"/>
      <c r="C34" s="295"/>
      <c r="D34" s="296"/>
      <c r="E34" s="396"/>
      <c r="F34" s="397"/>
      <c r="G34" s="397"/>
      <c r="H34" s="397"/>
      <c r="I34" s="412"/>
      <c r="J34" s="68" t="str">
        <f>IF(AND('Mapa final'!$Y$31="Media",'Mapa final'!$AA$31="Leve"),CONCATENATE("R9C",'Mapa final'!$O$31),"")</f>
        <v/>
      </c>
      <c r="K34" s="69" t="str">
        <f>IF(AND('Mapa final'!$Y$32="Media",'Mapa final'!$AA$32="Leve"),CONCATENATE("R9C",'Mapa final'!$O$32),"")</f>
        <v/>
      </c>
      <c r="L34" s="69" t="str">
        <f>IF(AND('Mapa final'!$Y$33="Media",'Mapa final'!$AA$33="Leve"),CONCATENATE("R9C",'Mapa final'!$O$33),"")</f>
        <v/>
      </c>
      <c r="M34" s="69" t="str">
        <f>IF(AND('Mapa final'!$Y$34="Media",'Mapa final'!$AA$34="Leve"),CONCATENATE("R9C",'Mapa final'!$O$34),"")</f>
        <v/>
      </c>
      <c r="N34" s="69" t="str">
        <f>IF(AND('Mapa final'!$Y$35="Media",'Mapa final'!$AA$35="Leve"),CONCATENATE("R9C",'Mapa final'!$O$35),"")</f>
        <v/>
      </c>
      <c r="O34" s="70" t="str">
        <f>IF(AND('Mapa final'!$Y$36="Media",'Mapa final'!$AA$36="Leve"),CONCATENATE("R9C",'Mapa final'!$O$36),"")</f>
        <v/>
      </c>
      <c r="P34" s="68" t="str">
        <f>IF(AND('Mapa final'!$Y$31="Media",'Mapa final'!$AA$31="Menor"),CONCATENATE("R9C",'Mapa final'!$O$31),"")</f>
        <v/>
      </c>
      <c r="Q34" s="69" t="str">
        <f>IF(AND('Mapa final'!$Y$32="Media",'Mapa final'!$AA$32="Menor"),CONCATENATE("R9C",'Mapa final'!$O$32),"")</f>
        <v/>
      </c>
      <c r="R34" s="69" t="str">
        <f>IF(AND('Mapa final'!$Y$33="Media",'Mapa final'!$AA$33="Menor"),CONCATENATE("R9C",'Mapa final'!$O$33),"")</f>
        <v/>
      </c>
      <c r="S34" s="69" t="str">
        <f>IF(AND('Mapa final'!$Y$34="Media",'Mapa final'!$AA$34="Menor"),CONCATENATE("R9C",'Mapa final'!$O$34),"")</f>
        <v/>
      </c>
      <c r="T34" s="69" t="str">
        <f>IF(AND('Mapa final'!$Y$35="Media",'Mapa final'!$AA$35="Menor"),CONCATENATE("R9C",'Mapa final'!$O$35),"")</f>
        <v/>
      </c>
      <c r="U34" s="70" t="str">
        <f>IF(AND('Mapa final'!$Y$36="Media",'Mapa final'!$AA$36="Menor"),CONCATENATE("R9C",'Mapa final'!$O$36),"")</f>
        <v/>
      </c>
      <c r="V34" s="68" t="str">
        <f>IF(AND('Mapa final'!$Y$31="Media",'Mapa final'!$AA$31="Moderado"),CONCATENATE("R9C",'Mapa final'!$O$31),"")</f>
        <v/>
      </c>
      <c r="W34" s="69" t="str">
        <f>IF(AND('Mapa final'!$Y$32="Media",'Mapa final'!$AA$32="Moderado"),CONCATENATE("R9C",'Mapa final'!$O$32),"")</f>
        <v/>
      </c>
      <c r="X34" s="69" t="str">
        <f>IF(AND('Mapa final'!$Y$33="Media",'Mapa final'!$AA$33="Moderado"),CONCATENATE("R9C",'Mapa final'!$O$33),"")</f>
        <v/>
      </c>
      <c r="Y34" s="69" t="str">
        <f>IF(AND('Mapa final'!$Y$34="Media",'Mapa final'!$AA$34="Moderado"),CONCATENATE("R9C",'Mapa final'!$O$34),"")</f>
        <v/>
      </c>
      <c r="Z34" s="69" t="str">
        <f>IF(AND('Mapa final'!$Y$35="Media",'Mapa final'!$AA$35="Moderado"),CONCATENATE("R9C",'Mapa final'!$O$35),"")</f>
        <v/>
      </c>
      <c r="AA34" s="70" t="str">
        <f>IF(AND('Mapa final'!$Y$36="Media",'Mapa final'!$AA$36="Moderado"),CONCATENATE("R9C",'Mapa final'!$O$36),"")</f>
        <v/>
      </c>
      <c r="AB34" s="52" t="str">
        <f>IF(AND('Mapa final'!$Y$31="Media",'Mapa final'!$AA$31="Mayor"),CONCATENATE("R9C",'Mapa final'!$O$31),"")</f>
        <v/>
      </c>
      <c r="AC34" s="53" t="str">
        <f>IF(AND('Mapa final'!$Y$32="Media",'Mapa final'!$AA$32="Mayor"),CONCATENATE("R9C",'Mapa final'!$O$32),"")</f>
        <v/>
      </c>
      <c r="AD34" s="58" t="str">
        <f>IF(AND('Mapa final'!$Y$33="Media",'Mapa final'!$AA$33="Mayor"),CONCATENATE("R9C",'Mapa final'!$O$33),"")</f>
        <v/>
      </c>
      <c r="AE34" s="58" t="str">
        <f>IF(AND('Mapa final'!$Y$34="Media",'Mapa final'!$AA$34="Mayor"),CONCATENATE("R9C",'Mapa final'!$O$34),"")</f>
        <v/>
      </c>
      <c r="AF34" s="58" t="str">
        <f>IF(AND('Mapa final'!$Y$35="Media",'Mapa final'!$AA$35="Mayor"),CONCATENATE("R9C",'Mapa final'!$O$35),"")</f>
        <v/>
      </c>
      <c r="AG34" s="54" t="str">
        <f>IF(AND('Mapa final'!$Y$36="Media",'Mapa final'!$AA$36="Mayor"),CONCATENATE("R9C",'Mapa final'!$O$36),"")</f>
        <v/>
      </c>
      <c r="AH34" s="55" t="str">
        <f>IF(AND('Mapa final'!$Y$31="Media",'Mapa final'!$AA$31="Catastrófico"),CONCATENATE("R9C",'Mapa final'!$O$31),"")</f>
        <v/>
      </c>
      <c r="AI34" s="56" t="str">
        <f>IF(AND('Mapa final'!$Y$32="Media",'Mapa final'!$AA$32="Catastrófico"),CONCATENATE("R9C",'Mapa final'!$O$32),"")</f>
        <v/>
      </c>
      <c r="AJ34" s="56" t="str">
        <f>IF(AND('Mapa final'!$Y$33="Media",'Mapa final'!$AA$33="Catastrófico"),CONCATENATE("R9C",'Mapa final'!$O$33),"")</f>
        <v/>
      </c>
      <c r="AK34" s="56" t="str">
        <f>IF(AND('Mapa final'!$Y$34="Media",'Mapa final'!$AA$34="Catastrófico"),CONCATENATE("R9C",'Mapa final'!$O$34),"")</f>
        <v/>
      </c>
      <c r="AL34" s="56" t="str">
        <f>IF(AND('Mapa final'!$Y$35="Media",'Mapa final'!$AA$35="Catastrófico"),CONCATENATE("R9C",'Mapa final'!$O$35),"")</f>
        <v/>
      </c>
      <c r="AM34" s="57" t="str">
        <f>IF(AND('Mapa final'!$Y$36="Media",'Mapa final'!$AA$36="Catastrófico"),CONCATENATE("R9C",'Mapa final'!$O$36),"")</f>
        <v/>
      </c>
      <c r="AN34" s="84"/>
      <c r="AO34" s="426"/>
      <c r="AP34" s="427"/>
      <c r="AQ34" s="427"/>
      <c r="AR34" s="427"/>
      <c r="AS34" s="427"/>
      <c r="AT34" s="428"/>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x14ac:dyDescent="0.3">
      <c r="A35" s="84"/>
      <c r="B35" s="295"/>
      <c r="C35" s="295"/>
      <c r="D35" s="296"/>
      <c r="E35" s="398"/>
      <c r="F35" s="399"/>
      <c r="G35" s="399"/>
      <c r="H35" s="399"/>
      <c r="I35" s="413"/>
      <c r="J35" s="68" t="str">
        <f>IF(AND('Mapa final'!$Y$37="Media",'Mapa final'!$AA$37="Leve"),CONCATENATE("R10C",'Mapa final'!$O$37),"")</f>
        <v/>
      </c>
      <c r="K35" s="69" t="str">
        <f>IF(AND('Mapa final'!$Y$38="Media",'Mapa final'!$AA$38="Leve"),CONCATENATE("R10C",'Mapa final'!$O$38),"")</f>
        <v/>
      </c>
      <c r="L35" s="69" t="str">
        <f>IF(AND('Mapa final'!$Y$39="Media",'Mapa final'!$AA$39="Leve"),CONCATENATE("R10C",'Mapa final'!$O$39),"")</f>
        <v/>
      </c>
      <c r="M35" s="69" t="str">
        <f>IF(AND('Mapa final'!$Y$40="Media",'Mapa final'!$AA$40="Leve"),CONCATENATE("R10C",'Mapa final'!$O$40),"")</f>
        <v/>
      </c>
      <c r="N35" s="69" t="str">
        <f>IF(AND('Mapa final'!$Y$41="Media",'Mapa final'!$AA$41="Leve"),CONCATENATE("R10C",'Mapa final'!$O$41),"")</f>
        <v/>
      </c>
      <c r="O35" s="70" t="str">
        <f>IF(AND('Mapa final'!$Y$42="Media",'Mapa final'!$AA$42="Leve"),CONCATENATE("R10C",'Mapa final'!$O$42),"")</f>
        <v/>
      </c>
      <c r="P35" s="68" t="str">
        <f>IF(AND('Mapa final'!$Y$37="Media",'Mapa final'!$AA$37="Menor"),CONCATENATE("R10C",'Mapa final'!$O$37),"")</f>
        <v/>
      </c>
      <c r="Q35" s="69" t="str">
        <f>IF(AND('Mapa final'!$Y$38="Media",'Mapa final'!$AA$38="Menor"),CONCATENATE("R10C",'Mapa final'!$O$38),"")</f>
        <v/>
      </c>
      <c r="R35" s="69" t="str">
        <f>IF(AND('Mapa final'!$Y$39="Media",'Mapa final'!$AA$39="Menor"),CONCATENATE("R10C",'Mapa final'!$O$39),"")</f>
        <v/>
      </c>
      <c r="S35" s="69" t="str">
        <f>IF(AND('Mapa final'!$Y$40="Media",'Mapa final'!$AA$40="Menor"),CONCATENATE("R10C",'Mapa final'!$O$40),"")</f>
        <v/>
      </c>
      <c r="T35" s="69" t="str">
        <f>IF(AND('Mapa final'!$Y$41="Media",'Mapa final'!$AA$41="Menor"),CONCATENATE("R10C",'Mapa final'!$O$41),"")</f>
        <v/>
      </c>
      <c r="U35" s="70" t="str">
        <f>IF(AND('Mapa final'!$Y$42="Media",'Mapa final'!$AA$42="Menor"),CONCATENATE("R10C",'Mapa final'!$O$42),"")</f>
        <v/>
      </c>
      <c r="V35" s="68" t="str">
        <f>IF(AND('Mapa final'!$Y$37="Media",'Mapa final'!$AA$37="Moderado"),CONCATENATE("R10C",'Mapa final'!$O$37),"")</f>
        <v/>
      </c>
      <c r="W35" s="69" t="str">
        <f>IF(AND('Mapa final'!$Y$38="Media",'Mapa final'!$AA$38="Moderado"),CONCATENATE("R10C",'Mapa final'!$O$38),"")</f>
        <v/>
      </c>
      <c r="X35" s="69" t="str">
        <f>IF(AND('Mapa final'!$Y$39="Media",'Mapa final'!$AA$39="Moderado"),CONCATENATE("R10C",'Mapa final'!$O$39),"")</f>
        <v/>
      </c>
      <c r="Y35" s="69" t="str">
        <f>IF(AND('Mapa final'!$Y$40="Media",'Mapa final'!$AA$40="Moderado"),CONCATENATE("R10C",'Mapa final'!$O$40),"")</f>
        <v/>
      </c>
      <c r="Z35" s="69" t="str">
        <f>IF(AND('Mapa final'!$Y$41="Media",'Mapa final'!$AA$41="Moderado"),CONCATENATE("R10C",'Mapa final'!$O$41),"")</f>
        <v/>
      </c>
      <c r="AA35" s="70" t="str">
        <f>IF(AND('Mapa final'!$Y$42="Media",'Mapa final'!$AA$42="Moderado"),CONCATENATE("R10C",'Mapa final'!$O$42),"")</f>
        <v/>
      </c>
      <c r="AB35" s="59" t="str">
        <f>IF(AND('Mapa final'!$Y$37="Media",'Mapa final'!$AA$37="Mayor"),CONCATENATE("R10C",'Mapa final'!$O$37),"")</f>
        <v/>
      </c>
      <c r="AC35" s="60" t="str">
        <f>IF(AND('Mapa final'!$Y$38="Media",'Mapa final'!$AA$38="Mayor"),CONCATENATE("R10C",'Mapa final'!$O$38),"")</f>
        <v/>
      </c>
      <c r="AD35" s="60" t="str">
        <f>IF(AND('Mapa final'!$Y$39="Media",'Mapa final'!$AA$39="Mayor"),CONCATENATE("R10C",'Mapa final'!$O$39),"")</f>
        <v/>
      </c>
      <c r="AE35" s="60" t="str">
        <f>IF(AND('Mapa final'!$Y$40="Media",'Mapa final'!$AA$40="Mayor"),CONCATENATE("R10C",'Mapa final'!$O$40),"")</f>
        <v/>
      </c>
      <c r="AF35" s="60" t="str">
        <f>IF(AND('Mapa final'!$Y$41="Media",'Mapa final'!$AA$41="Mayor"),CONCATENATE("R10C",'Mapa final'!$O$41),"")</f>
        <v/>
      </c>
      <c r="AG35" s="61" t="str">
        <f>IF(AND('Mapa final'!$Y$42="Media",'Mapa final'!$AA$42="Mayor"),CONCATENATE("R10C",'Mapa final'!$O$42),"")</f>
        <v/>
      </c>
      <c r="AH35" s="62" t="str">
        <f>IF(AND('Mapa final'!$Y$37="Media",'Mapa final'!$AA$37="Catastrófico"),CONCATENATE("R10C",'Mapa final'!$O$37),"")</f>
        <v/>
      </c>
      <c r="AI35" s="63" t="str">
        <f>IF(AND('Mapa final'!$Y$38="Media",'Mapa final'!$AA$38="Catastrófico"),CONCATENATE("R10C",'Mapa final'!$O$38),"")</f>
        <v/>
      </c>
      <c r="AJ35" s="63" t="str">
        <f>IF(AND('Mapa final'!$Y$39="Media",'Mapa final'!$AA$39="Catastrófico"),CONCATENATE("R10C",'Mapa final'!$O$39),"")</f>
        <v/>
      </c>
      <c r="AK35" s="63" t="str">
        <f>IF(AND('Mapa final'!$Y$40="Media",'Mapa final'!$AA$40="Catastrófico"),CONCATENATE("R10C",'Mapa final'!$O$40),"")</f>
        <v/>
      </c>
      <c r="AL35" s="63" t="str">
        <f>IF(AND('Mapa final'!$Y$41="Media",'Mapa final'!$AA$41="Catastrófico"),CONCATENATE("R10C",'Mapa final'!$O$41),"")</f>
        <v/>
      </c>
      <c r="AM35" s="64" t="str">
        <f>IF(AND('Mapa final'!$Y$42="Media",'Mapa final'!$AA$42="Catastrófico"),CONCATENATE("R10C",'Mapa final'!$O$42),"")</f>
        <v/>
      </c>
      <c r="AN35" s="84"/>
      <c r="AO35" s="429"/>
      <c r="AP35" s="430"/>
      <c r="AQ35" s="430"/>
      <c r="AR35" s="430"/>
      <c r="AS35" s="430"/>
      <c r="AT35" s="431"/>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x14ac:dyDescent="0.25">
      <c r="A36" s="84"/>
      <c r="B36" s="295"/>
      <c r="C36" s="295"/>
      <c r="D36" s="296"/>
      <c r="E36" s="392" t="s">
        <v>114</v>
      </c>
      <c r="F36" s="393"/>
      <c r="G36" s="393"/>
      <c r="H36" s="393"/>
      <c r="I36" s="393"/>
      <c r="J36" s="74" t="str">
        <f>IF(AND('Mapa final'!$Y$10="Baja",'Mapa final'!$AA$10="Leve"),CONCATENATE("R1C",'Mapa final'!$O$10),"")</f>
        <v/>
      </c>
      <c r="K36" s="75" t="e">
        <f>IF(AND('Mapa final'!#REF!="Baja",'Mapa final'!#REF!="Leve"),CONCATENATE("R1C",'Mapa final'!#REF!),"")</f>
        <v>#REF!</v>
      </c>
      <c r="L36" s="75" t="e">
        <f>IF(AND('Mapa final'!#REF!="Baja",'Mapa final'!#REF!="Leve"),CONCATENATE("R1C",'Mapa final'!#REF!),"")</f>
        <v>#REF!</v>
      </c>
      <c r="M36" s="75" t="e">
        <f>IF(AND('Mapa final'!#REF!="Baja",'Mapa final'!#REF!="Leve"),CONCATENATE("R1C",'Mapa final'!#REF!),"")</f>
        <v>#REF!</v>
      </c>
      <c r="N36" s="75" t="e">
        <f>IF(AND('Mapa final'!#REF!="Baja",'Mapa final'!#REF!="Leve"),CONCATENATE("R1C",'Mapa final'!#REF!),"")</f>
        <v>#REF!</v>
      </c>
      <c r="O36" s="76" t="e">
        <f>IF(AND('Mapa final'!#REF!="Baja",'Mapa final'!#REF!="Leve"),CONCATENATE("R1C",'Mapa final'!#REF!),"")</f>
        <v>#REF!</v>
      </c>
      <c r="P36" s="65" t="str">
        <f>IF(AND('Mapa final'!$Y$10="Baja",'Mapa final'!$AA$10="Menor"),CONCATENATE("R1C",'Mapa final'!$O$10),"")</f>
        <v/>
      </c>
      <c r="Q36" s="66" t="e">
        <f>IF(AND('Mapa final'!#REF!="Baja",'Mapa final'!#REF!="Menor"),CONCATENATE("R1C",'Mapa final'!#REF!),"")</f>
        <v>#REF!</v>
      </c>
      <c r="R36" s="66" t="e">
        <f>IF(AND('Mapa final'!#REF!="Baja",'Mapa final'!#REF!="Menor"),CONCATENATE("R1C",'Mapa final'!#REF!),"")</f>
        <v>#REF!</v>
      </c>
      <c r="S36" s="66" t="e">
        <f>IF(AND('Mapa final'!#REF!="Baja",'Mapa final'!#REF!="Menor"),CONCATENATE("R1C",'Mapa final'!#REF!),"")</f>
        <v>#REF!</v>
      </c>
      <c r="T36" s="66" t="e">
        <f>IF(AND('Mapa final'!#REF!="Baja",'Mapa final'!#REF!="Menor"),CONCATENATE("R1C",'Mapa final'!#REF!),"")</f>
        <v>#REF!</v>
      </c>
      <c r="U36" s="67" t="e">
        <f>IF(AND('Mapa final'!#REF!="Baja",'Mapa final'!#REF!="Menor"),CONCATENATE("R1C",'Mapa final'!#REF!),"")</f>
        <v>#REF!</v>
      </c>
      <c r="V36" s="65" t="str">
        <f>IF(AND('Mapa final'!$Y$10="Baja",'Mapa final'!$AA$10="Moderado"),CONCATENATE("R1C",'Mapa final'!$O$10),"")</f>
        <v/>
      </c>
      <c r="W36" s="66" t="e">
        <f>IF(AND('Mapa final'!#REF!="Baja",'Mapa final'!#REF!="Moderado"),CONCATENATE("R1C",'Mapa final'!#REF!),"")</f>
        <v>#REF!</v>
      </c>
      <c r="X36" s="66" t="e">
        <f>IF(AND('Mapa final'!#REF!="Baja",'Mapa final'!#REF!="Moderado"),CONCATENATE("R1C",'Mapa final'!#REF!),"")</f>
        <v>#REF!</v>
      </c>
      <c r="Y36" s="66" t="e">
        <f>IF(AND('Mapa final'!#REF!="Baja",'Mapa final'!#REF!="Moderado"),CONCATENATE("R1C",'Mapa final'!#REF!),"")</f>
        <v>#REF!</v>
      </c>
      <c r="Z36" s="66" t="e">
        <f>IF(AND('Mapa final'!#REF!="Baja",'Mapa final'!#REF!="Moderado"),CONCATENATE("R1C",'Mapa final'!#REF!),"")</f>
        <v>#REF!</v>
      </c>
      <c r="AA36" s="67" t="e">
        <f>IF(AND('Mapa final'!#REF!="Baja",'Mapa final'!#REF!="Moderado"),CONCATENATE("R1C",'Mapa final'!#REF!),"")</f>
        <v>#REF!</v>
      </c>
      <c r="AB36" s="46" t="str">
        <f>IF(AND('Mapa final'!$Y$10="Baja",'Mapa final'!$AA$10="Mayor"),CONCATENATE("R1C",'Mapa final'!$O$10),"")</f>
        <v/>
      </c>
      <c r="AC36" s="47" t="e">
        <f>IF(AND('Mapa final'!#REF!="Baja",'Mapa final'!#REF!="Mayor"),CONCATENATE("R1C",'Mapa final'!#REF!),"")</f>
        <v>#REF!</v>
      </c>
      <c r="AD36" s="47" t="e">
        <f>IF(AND('Mapa final'!#REF!="Baja",'Mapa final'!#REF!="Mayor"),CONCATENATE("R1C",'Mapa final'!#REF!),"")</f>
        <v>#REF!</v>
      </c>
      <c r="AE36" s="47" t="e">
        <f>IF(AND('Mapa final'!#REF!="Baja",'Mapa final'!#REF!="Mayor"),CONCATENATE("R1C",'Mapa final'!#REF!),"")</f>
        <v>#REF!</v>
      </c>
      <c r="AF36" s="47" t="e">
        <f>IF(AND('Mapa final'!#REF!="Baja",'Mapa final'!#REF!="Mayor"),CONCATENATE("R1C",'Mapa final'!#REF!),"")</f>
        <v>#REF!</v>
      </c>
      <c r="AG36" s="48" t="e">
        <f>IF(AND('Mapa final'!#REF!="Baja",'Mapa final'!#REF!="Mayor"),CONCATENATE("R1C",'Mapa final'!#REF!),"")</f>
        <v>#REF!</v>
      </c>
      <c r="AH36" s="49" t="str">
        <f>IF(AND('Mapa final'!$Y$10="Baja",'Mapa final'!$AA$10="Catastrófico"),CONCATENATE("R1C",'Mapa final'!$O$10),"")</f>
        <v/>
      </c>
      <c r="AI36" s="50" t="e">
        <f>IF(AND('Mapa final'!#REF!="Baja",'Mapa final'!#REF!="Catastrófico"),CONCATENATE("R1C",'Mapa final'!#REF!),"")</f>
        <v>#REF!</v>
      </c>
      <c r="AJ36" s="50" t="e">
        <f>IF(AND('Mapa final'!#REF!="Baja",'Mapa final'!#REF!="Catastrófico"),CONCATENATE("R1C",'Mapa final'!#REF!),"")</f>
        <v>#REF!</v>
      </c>
      <c r="AK36" s="50" t="e">
        <f>IF(AND('Mapa final'!#REF!="Baja",'Mapa final'!#REF!="Catastrófico"),CONCATENATE("R1C",'Mapa final'!#REF!),"")</f>
        <v>#REF!</v>
      </c>
      <c r="AL36" s="50" t="e">
        <f>IF(AND('Mapa final'!#REF!="Baja",'Mapa final'!#REF!="Catastrófico"),CONCATENATE("R1C",'Mapa final'!#REF!),"")</f>
        <v>#REF!</v>
      </c>
      <c r="AM36" s="51" t="e">
        <f>IF(AND('Mapa final'!#REF!="Baja",'Mapa final'!#REF!="Catastrófico"),CONCATENATE("R1C",'Mapa final'!#REF!),"")</f>
        <v>#REF!</v>
      </c>
      <c r="AN36" s="84"/>
      <c r="AO36" s="414" t="s">
        <v>82</v>
      </c>
      <c r="AP36" s="415"/>
      <c r="AQ36" s="415"/>
      <c r="AR36" s="415"/>
      <c r="AS36" s="415"/>
      <c r="AT36" s="416"/>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x14ac:dyDescent="0.25">
      <c r="A37" s="84"/>
      <c r="B37" s="295"/>
      <c r="C37" s="295"/>
      <c r="D37" s="296"/>
      <c r="E37" s="394"/>
      <c r="F37" s="395"/>
      <c r="G37" s="395"/>
      <c r="H37" s="395"/>
      <c r="I37" s="395"/>
      <c r="J37" s="77" t="e">
        <f>IF(AND('Mapa final'!#REF!="Baja",'Mapa final'!#REF!="Leve"),CONCATENATE("R2C",'Mapa final'!#REF!),"")</f>
        <v>#REF!</v>
      </c>
      <c r="K37" s="78" t="e">
        <f>IF(AND('Mapa final'!#REF!="Baja",'Mapa final'!#REF!="Leve"),CONCATENATE("R2C",'Mapa final'!#REF!),"")</f>
        <v>#REF!</v>
      </c>
      <c r="L37" s="78" t="e">
        <f>IF(AND('Mapa final'!#REF!="Baja",'Mapa final'!#REF!="Leve"),CONCATENATE("R2C",'Mapa final'!#REF!),"")</f>
        <v>#REF!</v>
      </c>
      <c r="M37" s="78" t="e">
        <f>IF(AND('Mapa final'!#REF!="Baja",'Mapa final'!#REF!="Leve"),CONCATENATE("R2C",'Mapa final'!#REF!),"")</f>
        <v>#REF!</v>
      </c>
      <c r="N37" s="78" t="e">
        <f>IF(AND('Mapa final'!#REF!="Baja",'Mapa final'!#REF!="Leve"),CONCATENATE("R2C",'Mapa final'!#REF!),"")</f>
        <v>#REF!</v>
      </c>
      <c r="O37" s="79" t="e">
        <f>IF(AND('Mapa final'!#REF!="Baja",'Mapa final'!#REF!="Leve"),CONCATENATE("R2C",'Mapa final'!#REF!),"")</f>
        <v>#REF!</v>
      </c>
      <c r="P37" s="68" t="e">
        <f>IF(AND('Mapa final'!#REF!="Baja",'Mapa final'!#REF!="Menor"),CONCATENATE("R2C",'Mapa final'!#REF!),"")</f>
        <v>#REF!</v>
      </c>
      <c r="Q37" s="69" t="e">
        <f>IF(AND('Mapa final'!#REF!="Baja",'Mapa final'!#REF!="Menor"),CONCATENATE("R2C",'Mapa final'!#REF!),"")</f>
        <v>#REF!</v>
      </c>
      <c r="R37" s="69" t="e">
        <f>IF(AND('Mapa final'!#REF!="Baja",'Mapa final'!#REF!="Menor"),CONCATENATE("R2C",'Mapa final'!#REF!),"")</f>
        <v>#REF!</v>
      </c>
      <c r="S37" s="69" t="e">
        <f>IF(AND('Mapa final'!#REF!="Baja",'Mapa final'!#REF!="Menor"),CONCATENATE("R2C",'Mapa final'!#REF!),"")</f>
        <v>#REF!</v>
      </c>
      <c r="T37" s="69" t="e">
        <f>IF(AND('Mapa final'!#REF!="Baja",'Mapa final'!#REF!="Menor"),CONCATENATE("R2C",'Mapa final'!#REF!),"")</f>
        <v>#REF!</v>
      </c>
      <c r="U37" s="70" t="e">
        <f>IF(AND('Mapa final'!#REF!="Baja",'Mapa final'!#REF!="Menor"),CONCATENATE("R2C",'Mapa final'!#REF!),"")</f>
        <v>#REF!</v>
      </c>
      <c r="V37" s="68" t="e">
        <f>IF(AND('Mapa final'!#REF!="Baja",'Mapa final'!#REF!="Moderado"),CONCATENATE("R2C",'Mapa final'!#REF!),"")</f>
        <v>#REF!</v>
      </c>
      <c r="W37" s="69" t="e">
        <f>IF(AND('Mapa final'!#REF!="Baja",'Mapa final'!#REF!="Moderado"),CONCATENATE("R2C",'Mapa final'!#REF!),"")</f>
        <v>#REF!</v>
      </c>
      <c r="X37" s="69" t="e">
        <f>IF(AND('Mapa final'!#REF!="Baja",'Mapa final'!#REF!="Moderado"),CONCATENATE("R2C",'Mapa final'!#REF!),"")</f>
        <v>#REF!</v>
      </c>
      <c r="Y37" s="69" t="e">
        <f>IF(AND('Mapa final'!#REF!="Baja",'Mapa final'!#REF!="Moderado"),CONCATENATE("R2C",'Mapa final'!#REF!),"")</f>
        <v>#REF!</v>
      </c>
      <c r="Z37" s="69" t="e">
        <f>IF(AND('Mapa final'!#REF!="Baja",'Mapa final'!#REF!="Moderado"),CONCATENATE("R2C",'Mapa final'!#REF!),"")</f>
        <v>#REF!</v>
      </c>
      <c r="AA37" s="70" t="e">
        <f>IF(AND('Mapa final'!#REF!="Baja",'Mapa final'!#REF!="Moderado"),CONCATENATE("R2C",'Mapa final'!#REF!),"")</f>
        <v>#REF!</v>
      </c>
      <c r="AB37" s="52" t="e">
        <f>IF(AND('Mapa final'!#REF!="Baja",'Mapa final'!#REF!="Mayor"),CONCATENATE("R2C",'Mapa final'!#REF!),"")</f>
        <v>#REF!</v>
      </c>
      <c r="AC37" s="53" t="e">
        <f>IF(AND('Mapa final'!#REF!="Baja",'Mapa final'!#REF!="Mayor"),CONCATENATE("R2C",'Mapa final'!#REF!),"")</f>
        <v>#REF!</v>
      </c>
      <c r="AD37" s="53" t="e">
        <f>IF(AND('Mapa final'!#REF!="Baja",'Mapa final'!#REF!="Mayor"),CONCATENATE("R2C",'Mapa final'!#REF!),"")</f>
        <v>#REF!</v>
      </c>
      <c r="AE37" s="53" t="e">
        <f>IF(AND('Mapa final'!#REF!="Baja",'Mapa final'!#REF!="Mayor"),CONCATENATE("R2C",'Mapa final'!#REF!),"")</f>
        <v>#REF!</v>
      </c>
      <c r="AF37" s="53" t="e">
        <f>IF(AND('Mapa final'!#REF!="Baja",'Mapa final'!#REF!="Mayor"),CONCATENATE("R2C",'Mapa final'!#REF!),"")</f>
        <v>#REF!</v>
      </c>
      <c r="AG37" s="54" t="e">
        <f>IF(AND('Mapa final'!#REF!="Baja",'Mapa final'!#REF!="Mayor"),CONCATENATE("R2C",'Mapa final'!#REF!),"")</f>
        <v>#REF!</v>
      </c>
      <c r="AH37" s="55" t="e">
        <f>IF(AND('Mapa final'!#REF!="Baja",'Mapa final'!#REF!="Catastrófico"),CONCATENATE("R2C",'Mapa final'!#REF!),"")</f>
        <v>#REF!</v>
      </c>
      <c r="AI37" s="56" t="e">
        <f>IF(AND('Mapa final'!#REF!="Baja",'Mapa final'!#REF!="Catastrófico"),CONCATENATE("R2C",'Mapa final'!#REF!),"")</f>
        <v>#REF!</v>
      </c>
      <c r="AJ37" s="56" t="e">
        <f>IF(AND('Mapa final'!#REF!="Baja",'Mapa final'!#REF!="Catastrófico"),CONCATENATE("R2C",'Mapa final'!#REF!),"")</f>
        <v>#REF!</v>
      </c>
      <c r="AK37" s="56" t="e">
        <f>IF(AND('Mapa final'!#REF!="Baja",'Mapa final'!#REF!="Catastrófico"),CONCATENATE("R2C",'Mapa final'!#REF!),"")</f>
        <v>#REF!</v>
      </c>
      <c r="AL37" s="56" t="e">
        <f>IF(AND('Mapa final'!#REF!="Baja",'Mapa final'!#REF!="Catastrófico"),CONCATENATE("R2C",'Mapa final'!#REF!),"")</f>
        <v>#REF!</v>
      </c>
      <c r="AM37" s="57" t="e">
        <f>IF(AND('Mapa final'!#REF!="Baja",'Mapa final'!#REF!="Catastrófico"),CONCATENATE("R2C",'Mapa final'!#REF!),"")</f>
        <v>#REF!</v>
      </c>
      <c r="AN37" s="84"/>
      <c r="AO37" s="417"/>
      <c r="AP37" s="418"/>
      <c r="AQ37" s="418"/>
      <c r="AR37" s="418"/>
      <c r="AS37" s="418"/>
      <c r="AT37" s="419"/>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x14ac:dyDescent="0.25">
      <c r="A38" s="84"/>
      <c r="B38" s="295"/>
      <c r="C38" s="295"/>
      <c r="D38" s="296"/>
      <c r="E38" s="396"/>
      <c r="F38" s="397"/>
      <c r="G38" s="397"/>
      <c r="H38" s="397"/>
      <c r="I38" s="395"/>
      <c r="J38" s="77" t="e">
        <f>IF(AND('Mapa final'!#REF!="Baja",'Mapa final'!#REF!="Leve"),CONCATENATE("R3C",'Mapa final'!#REF!),"")</f>
        <v>#REF!</v>
      </c>
      <c r="K38" s="78" t="str">
        <f>IF(AND('Mapa final'!$Y$11="Baja",'Mapa final'!$AA$11="Leve"),CONCATENATE("R3C",'Mapa final'!$O$11),"")</f>
        <v/>
      </c>
      <c r="L38" s="78" t="e">
        <f>IF(AND('Mapa final'!#REF!="Baja",'Mapa final'!#REF!="Leve"),CONCATENATE("R3C",'Mapa final'!#REF!),"")</f>
        <v>#REF!</v>
      </c>
      <c r="M38" s="78" t="e">
        <f>IF(AND('Mapa final'!#REF!="Baja",'Mapa final'!#REF!="Leve"),CONCATENATE("R3C",'Mapa final'!#REF!),"")</f>
        <v>#REF!</v>
      </c>
      <c r="N38" s="78" t="e">
        <f>IF(AND('Mapa final'!#REF!="Baja",'Mapa final'!#REF!="Leve"),CONCATENATE("R3C",'Mapa final'!#REF!),"")</f>
        <v>#REF!</v>
      </c>
      <c r="O38" s="79" t="e">
        <f>IF(AND('Mapa final'!#REF!="Baja",'Mapa final'!#REF!="Leve"),CONCATENATE("R3C",'Mapa final'!#REF!),"")</f>
        <v>#REF!</v>
      </c>
      <c r="P38" s="68" t="e">
        <f>IF(AND('Mapa final'!#REF!="Baja",'Mapa final'!#REF!="Menor"),CONCATENATE("R3C",'Mapa final'!#REF!),"")</f>
        <v>#REF!</v>
      </c>
      <c r="Q38" s="69" t="str">
        <f>IF(AND('Mapa final'!$Y$11="Baja",'Mapa final'!$AA$11="Menor"),CONCATENATE("R3C",'Mapa final'!$O$11),"")</f>
        <v/>
      </c>
      <c r="R38" s="69" t="e">
        <f>IF(AND('Mapa final'!#REF!="Baja",'Mapa final'!#REF!="Menor"),CONCATENATE("R3C",'Mapa final'!#REF!),"")</f>
        <v>#REF!</v>
      </c>
      <c r="S38" s="69" t="e">
        <f>IF(AND('Mapa final'!#REF!="Baja",'Mapa final'!#REF!="Menor"),CONCATENATE("R3C",'Mapa final'!#REF!),"")</f>
        <v>#REF!</v>
      </c>
      <c r="T38" s="69" t="e">
        <f>IF(AND('Mapa final'!#REF!="Baja",'Mapa final'!#REF!="Menor"),CONCATENATE("R3C",'Mapa final'!#REF!),"")</f>
        <v>#REF!</v>
      </c>
      <c r="U38" s="70" t="e">
        <f>IF(AND('Mapa final'!#REF!="Baja",'Mapa final'!#REF!="Menor"),CONCATENATE("R3C",'Mapa final'!#REF!),"")</f>
        <v>#REF!</v>
      </c>
      <c r="V38" s="68" t="e">
        <f>IF(AND('Mapa final'!#REF!="Baja",'Mapa final'!#REF!="Moderado"),CONCATENATE("R3C",'Mapa final'!#REF!),"")</f>
        <v>#REF!</v>
      </c>
      <c r="W38" s="69" t="str">
        <f>IF(AND('Mapa final'!$Y$11="Baja",'Mapa final'!$AA$11="Moderado"),CONCATENATE("R3C",'Mapa final'!$O$11),"")</f>
        <v/>
      </c>
      <c r="X38" s="69" t="e">
        <f>IF(AND('Mapa final'!#REF!="Baja",'Mapa final'!#REF!="Moderado"),CONCATENATE("R3C",'Mapa final'!#REF!),"")</f>
        <v>#REF!</v>
      </c>
      <c r="Y38" s="69" t="e">
        <f>IF(AND('Mapa final'!#REF!="Baja",'Mapa final'!#REF!="Moderado"),CONCATENATE("R3C",'Mapa final'!#REF!),"")</f>
        <v>#REF!</v>
      </c>
      <c r="Z38" s="69" t="e">
        <f>IF(AND('Mapa final'!#REF!="Baja",'Mapa final'!#REF!="Moderado"),CONCATENATE("R3C",'Mapa final'!#REF!),"")</f>
        <v>#REF!</v>
      </c>
      <c r="AA38" s="70" t="e">
        <f>IF(AND('Mapa final'!#REF!="Baja",'Mapa final'!#REF!="Moderado"),CONCATENATE("R3C",'Mapa final'!#REF!),"")</f>
        <v>#REF!</v>
      </c>
      <c r="AB38" s="52" t="e">
        <f>IF(AND('Mapa final'!#REF!="Baja",'Mapa final'!#REF!="Mayor"),CONCATENATE("R3C",'Mapa final'!#REF!),"")</f>
        <v>#REF!</v>
      </c>
      <c r="AC38" s="53" t="str">
        <f>IF(AND('Mapa final'!$Y$11="Baja",'Mapa final'!$AA$11="Mayor"),CONCATENATE("R3C",'Mapa final'!$O$11),"")</f>
        <v/>
      </c>
      <c r="AD38" s="53" t="e">
        <f>IF(AND('Mapa final'!#REF!="Baja",'Mapa final'!#REF!="Mayor"),CONCATENATE("R3C",'Mapa final'!#REF!),"")</f>
        <v>#REF!</v>
      </c>
      <c r="AE38" s="53" t="e">
        <f>IF(AND('Mapa final'!#REF!="Baja",'Mapa final'!#REF!="Mayor"),CONCATENATE("R3C",'Mapa final'!#REF!),"")</f>
        <v>#REF!</v>
      </c>
      <c r="AF38" s="53" t="e">
        <f>IF(AND('Mapa final'!#REF!="Baja",'Mapa final'!#REF!="Mayor"),CONCATENATE("R3C",'Mapa final'!#REF!),"")</f>
        <v>#REF!</v>
      </c>
      <c r="AG38" s="54" t="e">
        <f>IF(AND('Mapa final'!#REF!="Baja",'Mapa final'!#REF!="Mayor"),CONCATENATE("R3C",'Mapa final'!#REF!),"")</f>
        <v>#REF!</v>
      </c>
      <c r="AH38" s="55" t="e">
        <f>IF(AND('Mapa final'!#REF!="Baja",'Mapa final'!#REF!="Catastrófico"),CONCATENATE("R3C",'Mapa final'!#REF!),"")</f>
        <v>#REF!</v>
      </c>
      <c r="AI38" s="56" t="str">
        <f>IF(AND('Mapa final'!$Y$11="Baja",'Mapa final'!$AA$11="Catastrófico"),CONCATENATE("R3C",'Mapa final'!$O$11),"")</f>
        <v/>
      </c>
      <c r="AJ38" s="56" t="e">
        <f>IF(AND('Mapa final'!#REF!="Baja",'Mapa final'!#REF!="Catastrófico"),CONCATENATE("R3C",'Mapa final'!#REF!),"")</f>
        <v>#REF!</v>
      </c>
      <c r="AK38" s="56" t="e">
        <f>IF(AND('Mapa final'!#REF!="Baja",'Mapa final'!#REF!="Catastrófico"),CONCATENATE("R3C",'Mapa final'!#REF!),"")</f>
        <v>#REF!</v>
      </c>
      <c r="AL38" s="56" t="e">
        <f>IF(AND('Mapa final'!#REF!="Baja",'Mapa final'!#REF!="Catastrófico"),CONCATENATE("R3C",'Mapa final'!#REF!),"")</f>
        <v>#REF!</v>
      </c>
      <c r="AM38" s="57" t="e">
        <f>IF(AND('Mapa final'!#REF!="Baja",'Mapa final'!#REF!="Catastrófico"),CONCATENATE("R3C",'Mapa final'!#REF!),"")</f>
        <v>#REF!</v>
      </c>
      <c r="AN38" s="84"/>
      <c r="AO38" s="417"/>
      <c r="AP38" s="418"/>
      <c r="AQ38" s="418"/>
      <c r="AR38" s="418"/>
      <c r="AS38" s="418"/>
      <c r="AT38" s="419"/>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x14ac:dyDescent="0.25">
      <c r="A39" s="84"/>
      <c r="B39" s="295"/>
      <c r="C39" s="295"/>
      <c r="D39" s="296"/>
      <c r="E39" s="396"/>
      <c r="F39" s="397"/>
      <c r="G39" s="397"/>
      <c r="H39" s="397"/>
      <c r="I39" s="395"/>
      <c r="J39" s="77" t="str">
        <f>IF(AND('Mapa final'!$Y$12="Baja",'Mapa final'!$AA$12="Leve"),CONCATENATE("R4C",'Mapa final'!$O$12),"")</f>
        <v/>
      </c>
      <c r="K39" s="78" t="e">
        <f>IF(AND('Mapa final'!#REF!="Baja",'Mapa final'!#REF!="Leve"),CONCATENATE("R4C",'Mapa final'!#REF!),"")</f>
        <v>#REF!</v>
      </c>
      <c r="L39" s="78" t="e">
        <f>IF(AND('Mapa final'!#REF!="Baja",'Mapa final'!#REF!="Leve"),CONCATENATE("R4C",'Mapa final'!#REF!),"")</f>
        <v>#REF!</v>
      </c>
      <c r="M39" s="78" t="e">
        <f>IF(AND('Mapa final'!#REF!="Baja",'Mapa final'!#REF!="Leve"),CONCATENATE("R4C",'Mapa final'!#REF!),"")</f>
        <v>#REF!</v>
      </c>
      <c r="N39" s="78" t="e">
        <f>IF(AND('Mapa final'!#REF!="Baja",'Mapa final'!#REF!="Leve"),CONCATENATE("R4C",'Mapa final'!#REF!),"")</f>
        <v>#REF!</v>
      </c>
      <c r="O39" s="79" t="e">
        <f>IF(AND('Mapa final'!#REF!="Baja",'Mapa final'!#REF!="Leve"),CONCATENATE("R4C",'Mapa final'!#REF!),"")</f>
        <v>#REF!</v>
      </c>
      <c r="P39" s="68" t="str">
        <f>IF(AND('Mapa final'!$Y$12="Baja",'Mapa final'!$AA$12="Menor"),CONCATENATE("R4C",'Mapa final'!$O$12),"")</f>
        <v/>
      </c>
      <c r="Q39" s="69" t="e">
        <f>IF(AND('Mapa final'!#REF!="Baja",'Mapa final'!#REF!="Menor"),CONCATENATE("R4C",'Mapa final'!#REF!),"")</f>
        <v>#REF!</v>
      </c>
      <c r="R39" s="69" t="e">
        <f>IF(AND('Mapa final'!#REF!="Baja",'Mapa final'!#REF!="Menor"),CONCATENATE("R4C",'Mapa final'!#REF!),"")</f>
        <v>#REF!</v>
      </c>
      <c r="S39" s="69" t="e">
        <f>IF(AND('Mapa final'!#REF!="Baja",'Mapa final'!#REF!="Menor"),CONCATENATE("R4C",'Mapa final'!#REF!),"")</f>
        <v>#REF!</v>
      </c>
      <c r="T39" s="69" t="e">
        <f>IF(AND('Mapa final'!#REF!="Baja",'Mapa final'!#REF!="Menor"),CONCATENATE("R4C",'Mapa final'!#REF!),"")</f>
        <v>#REF!</v>
      </c>
      <c r="U39" s="70" t="e">
        <f>IF(AND('Mapa final'!#REF!="Baja",'Mapa final'!#REF!="Menor"),CONCATENATE("R4C",'Mapa final'!#REF!),"")</f>
        <v>#REF!</v>
      </c>
      <c r="V39" s="68" t="str">
        <f>IF(AND('Mapa final'!$Y$12="Baja",'Mapa final'!$AA$12="Moderado"),CONCATENATE("R4C",'Mapa final'!$O$12),"")</f>
        <v/>
      </c>
      <c r="W39" s="69" t="e">
        <f>IF(AND('Mapa final'!#REF!="Baja",'Mapa final'!#REF!="Moderado"),CONCATENATE("R4C",'Mapa final'!#REF!),"")</f>
        <v>#REF!</v>
      </c>
      <c r="X39" s="69" t="e">
        <f>IF(AND('Mapa final'!#REF!="Baja",'Mapa final'!#REF!="Moderado"),CONCATENATE("R4C",'Mapa final'!#REF!),"")</f>
        <v>#REF!</v>
      </c>
      <c r="Y39" s="69" t="e">
        <f>IF(AND('Mapa final'!#REF!="Baja",'Mapa final'!#REF!="Moderado"),CONCATENATE("R4C",'Mapa final'!#REF!),"")</f>
        <v>#REF!</v>
      </c>
      <c r="Z39" s="69" t="e">
        <f>IF(AND('Mapa final'!#REF!="Baja",'Mapa final'!#REF!="Moderado"),CONCATENATE("R4C",'Mapa final'!#REF!),"")</f>
        <v>#REF!</v>
      </c>
      <c r="AA39" s="70" t="e">
        <f>IF(AND('Mapa final'!#REF!="Baja",'Mapa final'!#REF!="Moderado"),CONCATENATE("R4C",'Mapa final'!#REF!),"")</f>
        <v>#REF!</v>
      </c>
      <c r="AB39" s="52" t="str">
        <f>IF(AND('Mapa final'!$Y$12="Baja",'Mapa final'!$AA$12="Mayor"),CONCATENATE("R4C",'Mapa final'!$O$12),"")</f>
        <v/>
      </c>
      <c r="AC39" s="53" t="e">
        <f>IF(AND('Mapa final'!#REF!="Baja",'Mapa final'!#REF!="Mayor"),CONCATENATE("R4C",'Mapa final'!#REF!),"")</f>
        <v>#REF!</v>
      </c>
      <c r="AD39" s="53" t="e">
        <f>IF(AND('Mapa final'!#REF!="Baja",'Mapa final'!#REF!="Mayor"),CONCATENATE("R4C",'Mapa final'!#REF!),"")</f>
        <v>#REF!</v>
      </c>
      <c r="AE39" s="53" t="e">
        <f>IF(AND('Mapa final'!#REF!="Baja",'Mapa final'!#REF!="Mayor"),CONCATENATE("R4C",'Mapa final'!#REF!),"")</f>
        <v>#REF!</v>
      </c>
      <c r="AF39" s="53" t="e">
        <f>IF(AND('Mapa final'!#REF!="Baja",'Mapa final'!#REF!="Mayor"),CONCATENATE("R4C",'Mapa final'!#REF!),"")</f>
        <v>#REF!</v>
      </c>
      <c r="AG39" s="54" t="e">
        <f>IF(AND('Mapa final'!#REF!="Baja",'Mapa final'!#REF!="Mayor"),CONCATENATE("R4C",'Mapa final'!#REF!),"")</f>
        <v>#REF!</v>
      </c>
      <c r="AH39" s="55" t="str">
        <f>IF(AND('Mapa final'!$Y$12="Baja",'Mapa final'!$AA$12="Catastrófico"),CONCATENATE("R4C",'Mapa final'!$O$12),"")</f>
        <v/>
      </c>
      <c r="AI39" s="56" t="e">
        <f>IF(AND('Mapa final'!#REF!="Baja",'Mapa final'!#REF!="Catastrófico"),CONCATENATE("R4C",'Mapa final'!#REF!),"")</f>
        <v>#REF!</v>
      </c>
      <c r="AJ39" s="56" t="e">
        <f>IF(AND('Mapa final'!#REF!="Baja",'Mapa final'!#REF!="Catastrófico"),CONCATENATE("R4C",'Mapa final'!#REF!),"")</f>
        <v>#REF!</v>
      </c>
      <c r="AK39" s="56" t="e">
        <f>IF(AND('Mapa final'!#REF!="Baja",'Mapa final'!#REF!="Catastrófico"),CONCATENATE("R4C",'Mapa final'!#REF!),"")</f>
        <v>#REF!</v>
      </c>
      <c r="AL39" s="56" t="e">
        <f>IF(AND('Mapa final'!#REF!="Baja",'Mapa final'!#REF!="Catastrófico"),CONCATENATE("R4C",'Mapa final'!#REF!),"")</f>
        <v>#REF!</v>
      </c>
      <c r="AM39" s="57" t="e">
        <f>IF(AND('Mapa final'!#REF!="Baja",'Mapa final'!#REF!="Catastrófico"),CONCATENATE("R4C",'Mapa final'!#REF!),"")</f>
        <v>#REF!</v>
      </c>
      <c r="AN39" s="84"/>
      <c r="AO39" s="417"/>
      <c r="AP39" s="418"/>
      <c r="AQ39" s="418"/>
      <c r="AR39" s="418"/>
      <c r="AS39" s="418"/>
      <c r="AT39" s="419"/>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x14ac:dyDescent="0.25">
      <c r="A40" s="84"/>
      <c r="B40" s="295"/>
      <c r="C40" s="295"/>
      <c r="D40" s="296"/>
      <c r="E40" s="396"/>
      <c r="F40" s="397"/>
      <c r="G40" s="397"/>
      <c r="H40" s="397"/>
      <c r="I40" s="395"/>
      <c r="J40" s="77" t="e">
        <f>IF(AND('Mapa final'!#REF!="Baja",'Mapa final'!#REF!="Leve"),CONCATENATE("R5C",'Mapa final'!#REF!),"")</f>
        <v>#REF!</v>
      </c>
      <c r="K40" s="78" t="e">
        <f>IF(AND('Mapa final'!#REF!="Baja",'Mapa final'!#REF!="Leve"),CONCATENATE("R5C",'Mapa final'!#REF!),"")</f>
        <v>#REF!</v>
      </c>
      <c r="L40" s="78" t="e">
        <f>IF(AND('Mapa final'!#REF!="Baja",'Mapa final'!#REF!="Leve"),CONCATENATE("R5C",'Mapa final'!#REF!),"")</f>
        <v>#REF!</v>
      </c>
      <c r="M40" s="78" t="e">
        <f>IF(AND('Mapa final'!#REF!="Baja",'Mapa final'!#REF!="Leve"),CONCATENATE("R5C",'Mapa final'!#REF!),"")</f>
        <v>#REF!</v>
      </c>
      <c r="N40" s="78" t="e">
        <f>IF(AND('Mapa final'!#REF!="Baja",'Mapa final'!#REF!="Leve"),CONCATENATE("R5C",'Mapa final'!#REF!),"")</f>
        <v>#REF!</v>
      </c>
      <c r="O40" s="79" t="e">
        <f>IF(AND('Mapa final'!#REF!="Baja",'Mapa final'!#REF!="Leve"),CONCATENATE("R5C",'Mapa final'!#REF!),"")</f>
        <v>#REF!</v>
      </c>
      <c r="P40" s="68" t="e">
        <f>IF(AND('Mapa final'!#REF!="Baja",'Mapa final'!#REF!="Menor"),CONCATENATE("R5C",'Mapa final'!#REF!),"")</f>
        <v>#REF!</v>
      </c>
      <c r="Q40" s="69" t="e">
        <f>IF(AND('Mapa final'!#REF!="Baja",'Mapa final'!#REF!="Menor"),CONCATENATE("R5C",'Mapa final'!#REF!),"")</f>
        <v>#REF!</v>
      </c>
      <c r="R40" s="69" t="e">
        <f>IF(AND('Mapa final'!#REF!="Baja",'Mapa final'!#REF!="Menor"),CONCATENATE("R5C",'Mapa final'!#REF!),"")</f>
        <v>#REF!</v>
      </c>
      <c r="S40" s="69" t="e">
        <f>IF(AND('Mapa final'!#REF!="Baja",'Mapa final'!#REF!="Menor"),CONCATENATE("R5C",'Mapa final'!#REF!),"")</f>
        <v>#REF!</v>
      </c>
      <c r="T40" s="69" t="e">
        <f>IF(AND('Mapa final'!#REF!="Baja",'Mapa final'!#REF!="Menor"),CONCATENATE("R5C",'Mapa final'!#REF!),"")</f>
        <v>#REF!</v>
      </c>
      <c r="U40" s="70" t="e">
        <f>IF(AND('Mapa final'!#REF!="Baja",'Mapa final'!#REF!="Menor"),CONCATENATE("R5C",'Mapa final'!#REF!),"")</f>
        <v>#REF!</v>
      </c>
      <c r="V40" s="68" t="e">
        <f>IF(AND('Mapa final'!#REF!="Baja",'Mapa final'!#REF!="Moderado"),CONCATENATE("R5C",'Mapa final'!#REF!),"")</f>
        <v>#REF!</v>
      </c>
      <c r="W40" s="69" t="e">
        <f>IF(AND('Mapa final'!#REF!="Baja",'Mapa final'!#REF!="Moderado"),CONCATENATE("R5C",'Mapa final'!#REF!),"")</f>
        <v>#REF!</v>
      </c>
      <c r="X40" s="69" t="e">
        <f>IF(AND('Mapa final'!#REF!="Baja",'Mapa final'!#REF!="Moderado"),CONCATENATE("R5C",'Mapa final'!#REF!),"")</f>
        <v>#REF!</v>
      </c>
      <c r="Y40" s="69" t="e">
        <f>IF(AND('Mapa final'!#REF!="Baja",'Mapa final'!#REF!="Moderado"),CONCATENATE("R5C",'Mapa final'!#REF!),"")</f>
        <v>#REF!</v>
      </c>
      <c r="Z40" s="69" t="e">
        <f>IF(AND('Mapa final'!#REF!="Baja",'Mapa final'!#REF!="Moderado"),CONCATENATE("R5C",'Mapa final'!#REF!),"")</f>
        <v>#REF!</v>
      </c>
      <c r="AA40" s="70" t="e">
        <f>IF(AND('Mapa final'!#REF!="Baja",'Mapa final'!#REF!="Moderado"),CONCATENATE("R5C",'Mapa final'!#REF!),"")</f>
        <v>#REF!</v>
      </c>
      <c r="AB40" s="52" t="e">
        <f>IF(AND('Mapa final'!#REF!="Baja",'Mapa final'!#REF!="Mayor"),CONCATENATE("R5C",'Mapa final'!#REF!),"")</f>
        <v>#REF!</v>
      </c>
      <c r="AC40" s="53" t="e">
        <f>IF(AND('Mapa final'!#REF!="Baja",'Mapa final'!#REF!="Mayor"),CONCATENATE("R5C",'Mapa final'!#REF!),"")</f>
        <v>#REF!</v>
      </c>
      <c r="AD40" s="58" t="e">
        <f>IF(AND('Mapa final'!#REF!="Baja",'Mapa final'!#REF!="Mayor"),CONCATENATE("R5C",'Mapa final'!#REF!),"")</f>
        <v>#REF!</v>
      </c>
      <c r="AE40" s="58" t="e">
        <f>IF(AND('Mapa final'!#REF!="Baja",'Mapa final'!#REF!="Mayor"),CONCATENATE("R5C",'Mapa final'!#REF!),"")</f>
        <v>#REF!</v>
      </c>
      <c r="AF40" s="58" t="e">
        <f>IF(AND('Mapa final'!#REF!="Baja",'Mapa final'!#REF!="Mayor"),CONCATENATE("R5C",'Mapa final'!#REF!),"")</f>
        <v>#REF!</v>
      </c>
      <c r="AG40" s="54" t="e">
        <f>IF(AND('Mapa final'!#REF!="Baja",'Mapa final'!#REF!="Mayor"),CONCATENATE("R5C",'Mapa final'!#REF!),"")</f>
        <v>#REF!</v>
      </c>
      <c r="AH40" s="55" t="e">
        <f>IF(AND('Mapa final'!#REF!="Baja",'Mapa final'!#REF!="Catastrófico"),CONCATENATE("R5C",'Mapa final'!#REF!),"")</f>
        <v>#REF!</v>
      </c>
      <c r="AI40" s="56" t="e">
        <f>IF(AND('Mapa final'!#REF!="Baja",'Mapa final'!#REF!="Catastrófico"),CONCATENATE("R5C",'Mapa final'!#REF!),"")</f>
        <v>#REF!</v>
      </c>
      <c r="AJ40" s="56" t="e">
        <f>IF(AND('Mapa final'!#REF!="Baja",'Mapa final'!#REF!="Catastrófico"),CONCATENATE("R5C",'Mapa final'!#REF!),"")</f>
        <v>#REF!</v>
      </c>
      <c r="AK40" s="56" t="e">
        <f>IF(AND('Mapa final'!#REF!="Baja",'Mapa final'!#REF!="Catastrófico"),CONCATENATE("R5C",'Mapa final'!#REF!),"")</f>
        <v>#REF!</v>
      </c>
      <c r="AL40" s="56" t="e">
        <f>IF(AND('Mapa final'!#REF!="Baja",'Mapa final'!#REF!="Catastrófico"),CONCATENATE("R5C",'Mapa final'!#REF!),"")</f>
        <v>#REF!</v>
      </c>
      <c r="AM40" s="57" t="e">
        <f>IF(AND('Mapa final'!#REF!="Baja",'Mapa final'!#REF!="Catastrófico"),CONCATENATE("R5C",'Mapa final'!#REF!),"")</f>
        <v>#REF!</v>
      </c>
      <c r="AN40" s="84"/>
      <c r="AO40" s="417"/>
      <c r="AP40" s="418"/>
      <c r="AQ40" s="418"/>
      <c r="AR40" s="418"/>
      <c r="AS40" s="418"/>
      <c r="AT40" s="419"/>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x14ac:dyDescent="0.25">
      <c r="A41" s="84"/>
      <c r="B41" s="295"/>
      <c r="C41" s="295"/>
      <c r="D41" s="296"/>
      <c r="E41" s="396"/>
      <c r="F41" s="397"/>
      <c r="G41" s="397"/>
      <c r="H41" s="397"/>
      <c r="I41" s="395"/>
      <c r="J41" s="77" t="str">
        <f>IF(AND('Mapa final'!$Y$13="Baja",'Mapa final'!$AA$13="Leve"),CONCATENATE("R6C",'Mapa final'!$O$13),"")</f>
        <v/>
      </c>
      <c r="K41" s="78" t="str">
        <f>IF(AND('Mapa final'!$Y$14="Baja",'Mapa final'!$AA$14="Leve"),CONCATENATE("R6C",'Mapa final'!$O$14),"")</f>
        <v/>
      </c>
      <c r="L41" s="78" t="str">
        <f>IF(AND('Mapa final'!$Y$15="Baja",'Mapa final'!$AA$15="Leve"),CONCATENATE("R6C",'Mapa final'!$O$15),"")</f>
        <v/>
      </c>
      <c r="M41" s="78" t="str">
        <f>IF(AND('Mapa final'!$Y$16="Baja",'Mapa final'!$AA$16="Leve"),CONCATENATE("R6C",'Mapa final'!$O$16),"")</f>
        <v/>
      </c>
      <c r="N41" s="78" t="str">
        <f>IF(AND('Mapa final'!$Y$17="Baja",'Mapa final'!$AA$17="Leve"),CONCATENATE("R6C",'Mapa final'!$O$17),"")</f>
        <v/>
      </c>
      <c r="O41" s="79" t="str">
        <f>IF(AND('Mapa final'!$Y$18="Baja",'Mapa final'!$AA$18="Leve"),CONCATENATE("R6C",'Mapa final'!$O$18),"")</f>
        <v/>
      </c>
      <c r="P41" s="68" t="str">
        <f>IF(AND('Mapa final'!$Y$13="Baja",'Mapa final'!$AA$13="Menor"),CONCATENATE("R6C",'Mapa final'!$O$13),"")</f>
        <v/>
      </c>
      <c r="Q41" s="69" t="str">
        <f>IF(AND('Mapa final'!$Y$14="Baja",'Mapa final'!$AA$14="Menor"),CONCATENATE("R6C",'Mapa final'!$O$14),"")</f>
        <v/>
      </c>
      <c r="R41" s="69" t="str">
        <f>IF(AND('Mapa final'!$Y$15="Baja",'Mapa final'!$AA$15="Menor"),CONCATENATE("R6C",'Mapa final'!$O$15),"")</f>
        <v/>
      </c>
      <c r="S41" s="69" t="str">
        <f>IF(AND('Mapa final'!$Y$16="Baja",'Mapa final'!$AA$16="Menor"),CONCATENATE("R6C",'Mapa final'!$O$16),"")</f>
        <v/>
      </c>
      <c r="T41" s="69" t="str">
        <f>IF(AND('Mapa final'!$Y$17="Baja",'Mapa final'!$AA$17="Menor"),CONCATENATE("R6C",'Mapa final'!$O$17),"")</f>
        <v/>
      </c>
      <c r="U41" s="70" t="str">
        <f>IF(AND('Mapa final'!$Y$18="Baja",'Mapa final'!$AA$18="Menor"),CONCATENATE("R6C",'Mapa final'!$O$18),"")</f>
        <v/>
      </c>
      <c r="V41" s="68" t="str">
        <f>IF(AND('Mapa final'!$Y$13="Baja",'Mapa final'!$AA$13="Moderado"),CONCATENATE("R6C",'Mapa final'!$O$13),"")</f>
        <v>R6C1</v>
      </c>
      <c r="W41" s="69" t="str">
        <f>IF(AND('Mapa final'!$Y$14="Baja",'Mapa final'!$AA$14="Moderado"),CONCATENATE("R6C",'Mapa final'!$O$14),"")</f>
        <v/>
      </c>
      <c r="X41" s="69" t="str">
        <f>IF(AND('Mapa final'!$Y$15="Baja",'Mapa final'!$AA$15="Moderado"),CONCATENATE("R6C",'Mapa final'!$O$15),"")</f>
        <v/>
      </c>
      <c r="Y41" s="69" t="str">
        <f>IF(AND('Mapa final'!$Y$16="Baja",'Mapa final'!$AA$16="Moderado"),CONCATENATE("R6C",'Mapa final'!$O$16),"")</f>
        <v/>
      </c>
      <c r="Z41" s="69" t="str">
        <f>IF(AND('Mapa final'!$Y$17="Baja",'Mapa final'!$AA$17="Moderado"),CONCATENATE("R6C",'Mapa final'!$O$17),"")</f>
        <v/>
      </c>
      <c r="AA41" s="70" t="str">
        <f>IF(AND('Mapa final'!$Y$18="Baja",'Mapa final'!$AA$18="Moderado"),CONCATENATE("R6C",'Mapa final'!$O$18),"")</f>
        <v/>
      </c>
      <c r="AB41" s="52" t="str">
        <f>IF(AND('Mapa final'!$Y$13="Baja",'Mapa final'!$AA$13="Mayor"),CONCATENATE("R6C",'Mapa final'!$O$13),"")</f>
        <v/>
      </c>
      <c r="AC41" s="53" t="str">
        <f>IF(AND('Mapa final'!$Y$14="Baja",'Mapa final'!$AA$14="Mayor"),CONCATENATE("R6C",'Mapa final'!$O$14),"")</f>
        <v/>
      </c>
      <c r="AD41" s="58" t="str">
        <f>IF(AND('Mapa final'!$Y$15="Baja",'Mapa final'!$AA$15="Mayor"),CONCATENATE("R6C",'Mapa final'!$O$15),"")</f>
        <v/>
      </c>
      <c r="AE41" s="58" t="str">
        <f>IF(AND('Mapa final'!$Y$16="Baja",'Mapa final'!$AA$16="Mayor"),CONCATENATE("R6C",'Mapa final'!$O$16),"")</f>
        <v/>
      </c>
      <c r="AF41" s="58" t="str">
        <f>IF(AND('Mapa final'!$Y$17="Baja",'Mapa final'!$AA$17="Mayor"),CONCATENATE("R6C",'Mapa final'!$O$17),"")</f>
        <v/>
      </c>
      <c r="AG41" s="54" t="str">
        <f>IF(AND('Mapa final'!$Y$18="Baja",'Mapa final'!$AA$18="Mayor"),CONCATENATE("R6C",'Mapa final'!$O$18),"")</f>
        <v/>
      </c>
      <c r="AH41" s="55" t="str">
        <f>IF(AND('Mapa final'!$Y$13="Baja",'Mapa final'!$AA$13="Catastrófico"),CONCATENATE("R6C",'Mapa final'!$O$13),"")</f>
        <v/>
      </c>
      <c r="AI41" s="56" t="str">
        <f>IF(AND('Mapa final'!$Y$14="Baja",'Mapa final'!$AA$14="Catastrófico"),CONCATENATE("R6C",'Mapa final'!$O$14),"")</f>
        <v/>
      </c>
      <c r="AJ41" s="56" t="str">
        <f>IF(AND('Mapa final'!$Y$15="Baja",'Mapa final'!$AA$15="Catastrófico"),CONCATENATE("R6C",'Mapa final'!$O$15),"")</f>
        <v/>
      </c>
      <c r="AK41" s="56" t="str">
        <f>IF(AND('Mapa final'!$Y$16="Baja",'Mapa final'!$AA$16="Catastrófico"),CONCATENATE("R6C",'Mapa final'!$O$16),"")</f>
        <v/>
      </c>
      <c r="AL41" s="56" t="str">
        <f>IF(AND('Mapa final'!$Y$17="Baja",'Mapa final'!$AA$17="Catastrófico"),CONCATENATE("R6C",'Mapa final'!$O$17),"")</f>
        <v/>
      </c>
      <c r="AM41" s="57" t="str">
        <f>IF(AND('Mapa final'!$Y$18="Baja",'Mapa final'!$AA$18="Catastrófico"),CONCATENATE("R6C",'Mapa final'!$O$18),"")</f>
        <v/>
      </c>
      <c r="AN41" s="84"/>
      <c r="AO41" s="417"/>
      <c r="AP41" s="418"/>
      <c r="AQ41" s="418"/>
      <c r="AR41" s="418"/>
      <c r="AS41" s="418"/>
      <c r="AT41" s="419"/>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x14ac:dyDescent="0.25">
      <c r="A42" s="84"/>
      <c r="B42" s="295"/>
      <c r="C42" s="295"/>
      <c r="D42" s="296"/>
      <c r="E42" s="396"/>
      <c r="F42" s="397"/>
      <c r="G42" s="397"/>
      <c r="H42" s="397"/>
      <c r="I42" s="395"/>
      <c r="J42" s="77" t="str">
        <f>IF(AND('Mapa final'!$Y$19="Baja",'Mapa final'!$AA$19="Leve"),CONCATENATE("R7C",'Mapa final'!$O$19),"")</f>
        <v/>
      </c>
      <c r="K42" s="78" t="str">
        <f>IF(AND('Mapa final'!$Y$20="Baja",'Mapa final'!$AA$20="Leve"),CONCATENATE("R7C",'Mapa final'!$O$20),"")</f>
        <v/>
      </c>
      <c r="L42" s="78" t="str">
        <f>IF(AND('Mapa final'!$Y$21="Baja",'Mapa final'!$AA$21="Leve"),CONCATENATE("R7C",'Mapa final'!$O$21),"")</f>
        <v/>
      </c>
      <c r="M42" s="78" t="str">
        <f>IF(AND('Mapa final'!$Y$22="Baja",'Mapa final'!$AA$22="Leve"),CONCATENATE("R7C",'Mapa final'!$O$22),"")</f>
        <v/>
      </c>
      <c r="N42" s="78" t="str">
        <f>IF(AND('Mapa final'!$Y$23="Baja",'Mapa final'!$AA$23="Leve"),CONCATENATE("R7C",'Mapa final'!$O$23),"")</f>
        <v/>
      </c>
      <c r="O42" s="79" t="str">
        <f>IF(AND('Mapa final'!$Y$24="Baja",'Mapa final'!$AA$24="Leve"),CONCATENATE("R7C",'Mapa final'!$O$24),"")</f>
        <v/>
      </c>
      <c r="P42" s="68" t="str">
        <f>IF(AND('Mapa final'!$Y$19="Baja",'Mapa final'!$AA$19="Menor"),CONCATENATE("R7C",'Mapa final'!$O$19),"")</f>
        <v/>
      </c>
      <c r="Q42" s="69" t="str">
        <f>IF(AND('Mapa final'!$Y$20="Baja",'Mapa final'!$AA$20="Menor"),CONCATENATE("R7C",'Mapa final'!$O$20),"")</f>
        <v/>
      </c>
      <c r="R42" s="69" t="str">
        <f>IF(AND('Mapa final'!$Y$21="Baja",'Mapa final'!$AA$21="Menor"),CONCATENATE("R7C",'Mapa final'!$O$21),"")</f>
        <v/>
      </c>
      <c r="S42" s="69" t="str">
        <f>IF(AND('Mapa final'!$Y$22="Baja",'Mapa final'!$AA$22="Menor"),CONCATENATE("R7C",'Mapa final'!$O$22),"")</f>
        <v/>
      </c>
      <c r="T42" s="69" t="str">
        <f>IF(AND('Mapa final'!$Y$23="Baja",'Mapa final'!$AA$23="Menor"),CONCATENATE("R7C",'Mapa final'!$O$23),"")</f>
        <v/>
      </c>
      <c r="U42" s="70" t="str">
        <f>IF(AND('Mapa final'!$Y$24="Baja",'Mapa final'!$AA$24="Menor"),CONCATENATE("R7C",'Mapa final'!$O$24),"")</f>
        <v/>
      </c>
      <c r="V42" s="68" t="str">
        <f>IF(AND('Mapa final'!$Y$19="Baja",'Mapa final'!$AA$19="Moderado"),CONCATENATE("R7C",'Mapa final'!$O$19),"")</f>
        <v/>
      </c>
      <c r="W42" s="69" t="str">
        <f>IF(AND('Mapa final'!$Y$20="Baja",'Mapa final'!$AA$20="Moderado"),CONCATENATE("R7C",'Mapa final'!$O$20),"")</f>
        <v/>
      </c>
      <c r="X42" s="69" t="str">
        <f>IF(AND('Mapa final'!$Y$21="Baja",'Mapa final'!$AA$21="Moderado"),CONCATENATE("R7C",'Mapa final'!$O$21),"")</f>
        <v/>
      </c>
      <c r="Y42" s="69" t="str">
        <f>IF(AND('Mapa final'!$Y$22="Baja",'Mapa final'!$AA$22="Moderado"),CONCATENATE("R7C",'Mapa final'!$O$22),"")</f>
        <v/>
      </c>
      <c r="Z42" s="69" t="str">
        <f>IF(AND('Mapa final'!$Y$23="Baja",'Mapa final'!$AA$23="Moderado"),CONCATENATE("R7C",'Mapa final'!$O$23),"")</f>
        <v/>
      </c>
      <c r="AA42" s="70" t="str">
        <f>IF(AND('Mapa final'!$Y$24="Baja",'Mapa final'!$AA$24="Moderado"),CONCATENATE("R7C",'Mapa final'!$O$24),"")</f>
        <v/>
      </c>
      <c r="AB42" s="52" t="str">
        <f>IF(AND('Mapa final'!$Y$19="Baja",'Mapa final'!$AA$19="Mayor"),CONCATENATE("R7C",'Mapa final'!$O$19),"")</f>
        <v/>
      </c>
      <c r="AC42" s="53" t="str">
        <f>IF(AND('Mapa final'!$Y$20="Baja",'Mapa final'!$AA$20="Mayor"),CONCATENATE("R7C",'Mapa final'!$O$20),"")</f>
        <v/>
      </c>
      <c r="AD42" s="58" t="str">
        <f>IF(AND('Mapa final'!$Y$21="Baja",'Mapa final'!$AA$21="Mayor"),CONCATENATE("R7C",'Mapa final'!$O$21),"")</f>
        <v/>
      </c>
      <c r="AE42" s="58" t="str">
        <f>IF(AND('Mapa final'!$Y$22="Baja",'Mapa final'!$AA$22="Mayor"),CONCATENATE("R7C",'Mapa final'!$O$22),"")</f>
        <v/>
      </c>
      <c r="AF42" s="58" t="str">
        <f>IF(AND('Mapa final'!$Y$23="Baja",'Mapa final'!$AA$23="Mayor"),CONCATENATE("R7C",'Mapa final'!$O$23),"")</f>
        <v/>
      </c>
      <c r="AG42" s="54" t="str">
        <f>IF(AND('Mapa final'!$Y$24="Baja",'Mapa final'!$AA$24="Mayor"),CONCATENATE("R7C",'Mapa final'!$O$24),"")</f>
        <v/>
      </c>
      <c r="AH42" s="55" t="str">
        <f>IF(AND('Mapa final'!$Y$19="Baja",'Mapa final'!$AA$19="Catastrófico"),CONCATENATE("R7C",'Mapa final'!$O$19),"")</f>
        <v/>
      </c>
      <c r="AI42" s="56" t="str">
        <f>IF(AND('Mapa final'!$Y$20="Baja",'Mapa final'!$AA$20="Catastrófico"),CONCATENATE("R7C",'Mapa final'!$O$20),"")</f>
        <v/>
      </c>
      <c r="AJ42" s="56" t="str">
        <f>IF(AND('Mapa final'!$Y$21="Baja",'Mapa final'!$AA$21="Catastrófico"),CONCATENATE("R7C",'Mapa final'!$O$21),"")</f>
        <v/>
      </c>
      <c r="AK42" s="56" t="str">
        <f>IF(AND('Mapa final'!$Y$22="Baja",'Mapa final'!$AA$22="Catastrófico"),CONCATENATE("R7C",'Mapa final'!$O$22),"")</f>
        <v/>
      </c>
      <c r="AL42" s="56" t="str">
        <f>IF(AND('Mapa final'!$Y$23="Baja",'Mapa final'!$AA$23="Catastrófico"),CONCATENATE("R7C",'Mapa final'!$O$23),"")</f>
        <v/>
      </c>
      <c r="AM42" s="57" t="str">
        <f>IF(AND('Mapa final'!$Y$24="Baja",'Mapa final'!$AA$24="Catastrófico"),CONCATENATE("R7C",'Mapa final'!$O$24),"")</f>
        <v/>
      </c>
      <c r="AN42" s="84"/>
      <c r="AO42" s="417"/>
      <c r="AP42" s="418"/>
      <c r="AQ42" s="418"/>
      <c r="AR42" s="418"/>
      <c r="AS42" s="418"/>
      <c r="AT42" s="419"/>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x14ac:dyDescent="0.25">
      <c r="A43" s="84"/>
      <c r="B43" s="295"/>
      <c r="C43" s="295"/>
      <c r="D43" s="296"/>
      <c r="E43" s="396"/>
      <c r="F43" s="397"/>
      <c r="G43" s="397"/>
      <c r="H43" s="397"/>
      <c r="I43" s="395"/>
      <c r="J43" s="77" t="str">
        <f>IF(AND('Mapa final'!$Y$25="Baja",'Mapa final'!$AA$25="Leve"),CONCATENATE("R8C",'Mapa final'!$O$25),"")</f>
        <v/>
      </c>
      <c r="K43" s="78" t="str">
        <f>IF(AND('Mapa final'!$Y$26="Baja",'Mapa final'!$AA$26="Leve"),CONCATENATE("R8C",'Mapa final'!$O$26),"")</f>
        <v/>
      </c>
      <c r="L43" s="78" t="str">
        <f>IF(AND('Mapa final'!$Y$27="Baja",'Mapa final'!$AA$27="Leve"),CONCATENATE("R8C",'Mapa final'!$O$27),"")</f>
        <v/>
      </c>
      <c r="M43" s="78" t="str">
        <f>IF(AND('Mapa final'!$Y$28="Baja",'Mapa final'!$AA$28="Leve"),CONCATENATE("R8C",'Mapa final'!$O$28),"")</f>
        <v/>
      </c>
      <c r="N43" s="78" t="str">
        <f>IF(AND('Mapa final'!$Y$29="Baja",'Mapa final'!$AA$29="Leve"),CONCATENATE("R8C",'Mapa final'!$O$29),"")</f>
        <v/>
      </c>
      <c r="O43" s="79" t="str">
        <f>IF(AND('Mapa final'!$Y$30="Baja",'Mapa final'!$AA$30="Leve"),CONCATENATE("R8C",'Mapa final'!$O$30),"")</f>
        <v/>
      </c>
      <c r="P43" s="68" t="str">
        <f>IF(AND('Mapa final'!$Y$25="Baja",'Mapa final'!$AA$25="Menor"),CONCATENATE("R8C",'Mapa final'!$O$25),"")</f>
        <v/>
      </c>
      <c r="Q43" s="69" t="str">
        <f>IF(AND('Mapa final'!$Y$26="Baja",'Mapa final'!$AA$26="Menor"),CONCATENATE("R8C",'Mapa final'!$O$26),"")</f>
        <v/>
      </c>
      <c r="R43" s="69" t="str">
        <f>IF(AND('Mapa final'!$Y$27="Baja",'Mapa final'!$AA$27="Menor"),CONCATENATE("R8C",'Mapa final'!$O$27),"")</f>
        <v/>
      </c>
      <c r="S43" s="69" t="str">
        <f>IF(AND('Mapa final'!$Y$28="Baja",'Mapa final'!$AA$28="Menor"),CONCATENATE("R8C",'Mapa final'!$O$28),"")</f>
        <v/>
      </c>
      <c r="T43" s="69" t="str">
        <f>IF(AND('Mapa final'!$Y$29="Baja",'Mapa final'!$AA$29="Menor"),CONCATENATE("R8C",'Mapa final'!$O$29),"")</f>
        <v/>
      </c>
      <c r="U43" s="70" t="str">
        <f>IF(AND('Mapa final'!$Y$30="Baja",'Mapa final'!$AA$30="Menor"),CONCATENATE("R8C",'Mapa final'!$O$30),"")</f>
        <v/>
      </c>
      <c r="V43" s="68" t="str">
        <f>IF(AND('Mapa final'!$Y$25="Baja",'Mapa final'!$AA$25="Moderado"),CONCATENATE("R8C",'Mapa final'!$O$25),"")</f>
        <v/>
      </c>
      <c r="W43" s="69" t="str">
        <f>IF(AND('Mapa final'!$Y$26="Baja",'Mapa final'!$AA$26="Moderado"),CONCATENATE("R8C",'Mapa final'!$O$26),"")</f>
        <v/>
      </c>
      <c r="X43" s="69" t="str">
        <f>IF(AND('Mapa final'!$Y$27="Baja",'Mapa final'!$AA$27="Moderado"),CONCATENATE("R8C",'Mapa final'!$O$27),"")</f>
        <v/>
      </c>
      <c r="Y43" s="69" t="str">
        <f>IF(AND('Mapa final'!$Y$28="Baja",'Mapa final'!$AA$28="Moderado"),CONCATENATE("R8C",'Mapa final'!$O$28),"")</f>
        <v/>
      </c>
      <c r="Z43" s="69" t="str">
        <f>IF(AND('Mapa final'!$Y$29="Baja",'Mapa final'!$AA$29="Moderado"),CONCATENATE("R8C",'Mapa final'!$O$29),"")</f>
        <v/>
      </c>
      <c r="AA43" s="70" t="str">
        <f>IF(AND('Mapa final'!$Y$30="Baja",'Mapa final'!$AA$30="Moderado"),CONCATENATE("R8C",'Mapa final'!$O$30),"")</f>
        <v/>
      </c>
      <c r="AB43" s="52" t="str">
        <f>IF(AND('Mapa final'!$Y$25="Baja",'Mapa final'!$AA$25="Mayor"),CONCATENATE("R8C",'Mapa final'!$O$25),"")</f>
        <v/>
      </c>
      <c r="AC43" s="53" t="str">
        <f>IF(AND('Mapa final'!$Y$26="Baja",'Mapa final'!$AA$26="Mayor"),CONCATENATE("R8C",'Mapa final'!$O$26),"")</f>
        <v/>
      </c>
      <c r="AD43" s="58" t="str">
        <f>IF(AND('Mapa final'!$Y$27="Baja",'Mapa final'!$AA$27="Mayor"),CONCATENATE("R8C",'Mapa final'!$O$27),"")</f>
        <v/>
      </c>
      <c r="AE43" s="58" t="str">
        <f>IF(AND('Mapa final'!$Y$28="Baja",'Mapa final'!$AA$28="Mayor"),CONCATENATE("R8C",'Mapa final'!$O$28),"")</f>
        <v/>
      </c>
      <c r="AF43" s="58" t="str">
        <f>IF(AND('Mapa final'!$Y$29="Baja",'Mapa final'!$AA$29="Mayor"),CONCATENATE("R8C",'Mapa final'!$O$29),"")</f>
        <v/>
      </c>
      <c r="AG43" s="54" t="str">
        <f>IF(AND('Mapa final'!$Y$30="Baja",'Mapa final'!$AA$30="Mayor"),CONCATENATE("R8C",'Mapa final'!$O$30),"")</f>
        <v/>
      </c>
      <c r="AH43" s="55" t="str">
        <f>IF(AND('Mapa final'!$Y$25="Baja",'Mapa final'!$AA$25="Catastrófico"),CONCATENATE("R8C",'Mapa final'!$O$25),"")</f>
        <v/>
      </c>
      <c r="AI43" s="56" t="str">
        <f>IF(AND('Mapa final'!$Y$26="Baja",'Mapa final'!$AA$26="Catastrófico"),CONCATENATE("R8C",'Mapa final'!$O$26),"")</f>
        <v/>
      </c>
      <c r="AJ43" s="56" t="str">
        <f>IF(AND('Mapa final'!$Y$27="Baja",'Mapa final'!$AA$27="Catastrófico"),CONCATENATE("R8C",'Mapa final'!$O$27),"")</f>
        <v/>
      </c>
      <c r="AK43" s="56" t="str">
        <f>IF(AND('Mapa final'!$Y$28="Baja",'Mapa final'!$AA$28="Catastrófico"),CONCATENATE("R8C",'Mapa final'!$O$28),"")</f>
        <v/>
      </c>
      <c r="AL43" s="56" t="str">
        <f>IF(AND('Mapa final'!$Y$29="Baja",'Mapa final'!$AA$29="Catastrófico"),CONCATENATE("R8C",'Mapa final'!$O$29),"")</f>
        <v/>
      </c>
      <c r="AM43" s="57" t="str">
        <f>IF(AND('Mapa final'!$Y$30="Baja",'Mapa final'!$AA$30="Catastrófico"),CONCATENATE("R8C",'Mapa final'!$O$30),"")</f>
        <v/>
      </c>
      <c r="AN43" s="84"/>
      <c r="AO43" s="417"/>
      <c r="AP43" s="418"/>
      <c r="AQ43" s="418"/>
      <c r="AR43" s="418"/>
      <c r="AS43" s="418"/>
      <c r="AT43" s="419"/>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x14ac:dyDescent="0.25">
      <c r="A44" s="84"/>
      <c r="B44" s="295"/>
      <c r="C44" s="295"/>
      <c r="D44" s="296"/>
      <c r="E44" s="396"/>
      <c r="F44" s="397"/>
      <c r="G44" s="397"/>
      <c r="H44" s="397"/>
      <c r="I44" s="395"/>
      <c r="J44" s="77" t="str">
        <f>IF(AND('Mapa final'!$Y$31="Baja",'Mapa final'!$AA$31="Leve"),CONCATENATE("R9C",'Mapa final'!$O$31),"")</f>
        <v/>
      </c>
      <c r="K44" s="78" t="str">
        <f>IF(AND('Mapa final'!$Y$32="Baja",'Mapa final'!$AA$32="Leve"),CONCATENATE("R9C",'Mapa final'!$O$32),"")</f>
        <v/>
      </c>
      <c r="L44" s="78" t="str">
        <f>IF(AND('Mapa final'!$Y$33="Baja",'Mapa final'!$AA$33="Leve"),CONCATENATE("R9C",'Mapa final'!$O$33),"")</f>
        <v/>
      </c>
      <c r="M44" s="78" t="str">
        <f>IF(AND('Mapa final'!$Y$34="Baja",'Mapa final'!$AA$34="Leve"),CONCATENATE("R9C",'Mapa final'!$O$34),"")</f>
        <v/>
      </c>
      <c r="N44" s="78" t="str">
        <f>IF(AND('Mapa final'!$Y$35="Baja",'Mapa final'!$AA$35="Leve"),CONCATENATE("R9C",'Mapa final'!$O$35),"")</f>
        <v/>
      </c>
      <c r="O44" s="79" t="str">
        <f>IF(AND('Mapa final'!$Y$36="Baja",'Mapa final'!$AA$36="Leve"),CONCATENATE("R9C",'Mapa final'!$O$36),"")</f>
        <v/>
      </c>
      <c r="P44" s="68" t="str">
        <f>IF(AND('Mapa final'!$Y$31="Baja",'Mapa final'!$AA$31="Menor"),CONCATENATE("R9C",'Mapa final'!$O$31),"")</f>
        <v/>
      </c>
      <c r="Q44" s="69" t="str">
        <f>IF(AND('Mapa final'!$Y$32="Baja",'Mapa final'!$AA$32="Menor"),CONCATENATE("R9C",'Mapa final'!$O$32),"")</f>
        <v/>
      </c>
      <c r="R44" s="69" t="str">
        <f>IF(AND('Mapa final'!$Y$33="Baja",'Mapa final'!$AA$33="Menor"),CONCATENATE("R9C",'Mapa final'!$O$33),"")</f>
        <v/>
      </c>
      <c r="S44" s="69" t="str">
        <f>IF(AND('Mapa final'!$Y$34="Baja",'Mapa final'!$AA$34="Menor"),CONCATENATE("R9C",'Mapa final'!$O$34),"")</f>
        <v/>
      </c>
      <c r="T44" s="69" t="str">
        <f>IF(AND('Mapa final'!$Y$35="Baja",'Mapa final'!$AA$35="Menor"),CONCATENATE("R9C",'Mapa final'!$O$35),"")</f>
        <v/>
      </c>
      <c r="U44" s="70" t="str">
        <f>IF(AND('Mapa final'!$Y$36="Baja",'Mapa final'!$AA$36="Menor"),CONCATENATE("R9C",'Mapa final'!$O$36),"")</f>
        <v/>
      </c>
      <c r="V44" s="68" t="str">
        <f>IF(AND('Mapa final'!$Y$31="Baja",'Mapa final'!$AA$31="Moderado"),CONCATENATE("R9C",'Mapa final'!$O$31),"")</f>
        <v/>
      </c>
      <c r="W44" s="69" t="str">
        <f>IF(AND('Mapa final'!$Y$32="Baja",'Mapa final'!$AA$32="Moderado"),CONCATENATE("R9C",'Mapa final'!$O$32),"")</f>
        <v/>
      </c>
      <c r="X44" s="69" t="str">
        <f>IF(AND('Mapa final'!$Y$33="Baja",'Mapa final'!$AA$33="Moderado"),CONCATENATE("R9C",'Mapa final'!$O$33),"")</f>
        <v/>
      </c>
      <c r="Y44" s="69" t="str">
        <f>IF(AND('Mapa final'!$Y$34="Baja",'Mapa final'!$AA$34="Moderado"),CONCATENATE("R9C",'Mapa final'!$O$34),"")</f>
        <v/>
      </c>
      <c r="Z44" s="69" t="str">
        <f>IF(AND('Mapa final'!$Y$35="Baja",'Mapa final'!$AA$35="Moderado"),CONCATENATE("R9C",'Mapa final'!$O$35),"")</f>
        <v/>
      </c>
      <c r="AA44" s="70" t="str">
        <f>IF(AND('Mapa final'!$Y$36="Baja",'Mapa final'!$AA$36="Moderado"),CONCATENATE("R9C",'Mapa final'!$O$36),"")</f>
        <v/>
      </c>
      <c r="AB44" s="52" t="str">
        <f>IF(AND('Mapa final'!$Y$31="Baja",'Mapa final'!$AA$31="Mayor"),CONCATENATE("R9C",'Mapa final'!$O$31),"")</f>
        <v/>
      </c>
      <c r="AC44" s="53" t="str">
        <f>IF(AND('Mapa final'!$Y$32="Baja",'Mapa final'!$AA$32="Mayor"),CONCATENATE("R9C",'Mapa final'!$O$32),"")</f>
        <v/>
      </c>
      <c r="AD44" s="58" t="str">
        <f>IF(AND('Mapa final'!$Y$33="Baja",'Mapa final'!$AA$33="Mayor"),CONCATENATE("R9C",'Mapa final'!$O$33),"")</f>
        <v/>
      </c>
      <c r="AE44" s="58" t="str">
        <f>IF(AND('Mapa final'!$Y$34="Baja",'Mapa final'!$AA$34="Mayor"),CONCATENATE("R9C",'Mapa final'!$O$34),"")</f>
        <v/>
      </c>
      <c r="AF44" s="58" t="str">
        <f>IF(AND('Mapa final'!$Y$35="Baja",'Mapa final'!$AA$35="Mayor"),CONCATENATE("R9C",'Mapa final'!$O$35),"")</f>
        <v/>
      </c>
      <c r="AG44" s="54" t="str">
        <f>IF(AND('Mapa final'!$Y$36="Baja",'Mapa final'!$AA$36="Mayor"),CONCATENATE("R9C",'Mapa final'!$O$36),"")</f>
        <v/>
      </c>
      <c r="AH44" s="55" t="str">
        <f>IF(AND('Mapa final'!$Y$31="Baja",'Mapa final'!$AA$31="Catastrófico"),CONCATENATE("R9C",'Mapa final'!$O$31),"")</f>
        <v/>
      </c>
      <c r="AI44" s="56" t="str">
        <f>IF(AND('Mapa final'!$Y$32="Baja",'Mapa final'!$AA$32="Catastrófico"),CONCATENATE("R9C",'Mapa final'!$O$32),"")</f>
        <v/>
      </c>
      <c r="AJ44" s="56" t="str">
        <f>IF(AND('Mapa final'!$Y$33="Baja",'Mapa final'!$AA$33="Catastrófico"),CONCATENATE("R9C",'Mapa final'!$O$33),"")</f>
        <v/>
      </c>
      <c r="AK44" s="56" t="str">
        <f>IF(AND('Mapa final'!$Y$34="Baja",'Mapa final'!$AA$34="Catastrófico"),CONCATENATE("R9C",'Mapa final'!$O$34),"")</f>
        <v/>
      </c>
      <c r="AL44" s="56" t="str">
        <f>IF(AND('Mapa final'!$Y$35="Baja",'Mapa final'!$AA$35="Catastrófico"),CONCATENATE("R9C",'Mapa final'!$O$35),"")</f>
        <v/>
      </c>
      <c r="AM44" s="57" t="str">
        <f>IF(AND('Mapa final'!$Y$36="Baja",'Mapa final'!$AA$36="Catastrófico"),CONCATENATE("R9C",'Mapa final'!$O$36),"")</f>
        <v/>
      </c>
      <c r="AN44" s="84"/>
      <c r="AO44" s="417"/>
      <c r="AP44" s="418"/>
      <c r="AQ44" s="418"/>
      <c r="AR44" s="418"/>
      <c r="AS44" s="418"/>
      <c r="AT44" s="419"/>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x14ac:dyDescent="0.3">
      <c r="A45" s="84"/>
      <c r="B45" s="295"/>
      <c r="C45" s="295"/>
      <c r="D45" s="296"/>
      <c r="E45" s="398"/>
      <c r="F45" s="399"/>
      <c r="G45" s="399"/>
      <c r="H45" s="399"/>
      <c r="I45" s="399"/>
      <c r="J45" s="80" t="str">
        <f>IF(AND('Mapa final'!$Y$37="Baja",'Mapa final'!$AA$37="Leve"),CONCATENATE("R10C",'Mapa final'!$O$37),"")</f>
        <v/>
      </c>
      <c r="K45" s="81" t="str">
        <f>IF(AND('Mapa final'!$Y$38="Baja",'Mapa final'!$AA$38="Leve"),CONCATENATE("R10C",'Mapa final'!$O$38),"")</f>
        <v/>
      </c>
      <c r="L45" s="81" t="str">
        <f>IF(AND('Mapa final'!$Y$39="Baja",'Mapa final'!$AA$39="Leve"),CONCATENATE("R10C",'Mapa final'!$O$39),"")</f>
        <v/>
      </c>
      <c r="M45" s="81" t="str">
        <f>IF(AND('Mapa final'!$Y$40="Baja",'Mapa final'!$AA$40="Leve"),CONCATENATE("R10C",'Mapa final'!$O$40),"")</f>
        <v/>
      </c>
      <c r="N45" s="81" t="str">
        <f>IF(AND('Mapa final'!$Y$41="Baja",'Mapa final'!$AA$41="Leve"),CONCATENATE("R10C",'Mapa final'!$O$41),"")</f>
        <v/>
      </c>
      <c r="O45" s="82" t="str">
        <f>IF(AND('Mapa final'!$Y$42="Baja",'Mapa final'!$AA$42="Leve"),CONCATENATE("R10C",'Mapa final'!$O$42),"")</f>
        <v/>
      </c>
      <c r="P45" s="68" t="str">
        <f>IF(AND('Mapa final'!$Y$37="Baja",'Mapa final'!$AA$37="Menor"),CONCATENATE("R10C",'Mapa final'!$O$37),"")</f>
        <v/>
      </c>
      <c r="Q45" s="69" t="str">
        <f>IF(AND('Mapa final'!$Y$38="Baja",'Mapa final'!$AA$38="Menor"),CONCATENATE("R10C",'Mapa final'!$O$38),"")</f>
        <v/>
      </c>
      <c r="R45" s="69" t="str">
        <f>IF(AND('Mapa final'!$Y$39="Baja",'Mapa final'!$AA$39="Menor"),CONCATENATE("R10C",'Mapa final'!$O$39),"")</f>
        <v/>
      </c>
      <c r="S45" s="69" t="str">
        <f>IF(AND('Mapa final'!$Y$40="Baja",'Mapa final'!$AA$40="Menor"),CONCATENATE("R10C",'Mapa final'!$O$40),"")</f>
        <v/>
      </c>
      <c r="T45" s="69" t="str">
        <f>IF(AND('Mapa final'!$Y$41="Baja",'Mapa final'!$AA$41="Menor"),CONCATENATE("R10C",'Mapa final'!$O$41),"")</f>
        <v/>
      </c>
      <c r="U45" s="70" t="str">
        <f>IF(AND('Mapa final'!$Y$42="Baja",'Mapa final'!$AA$42="Menor"),CONCATENATE("R10C",'Mapa final'!$O$42),"")</f>
        <v/>
      </c>
      <c r="V45" s="71" t="str">
        <f>IF(AND('Mapa final'!$Y$37="Baja",'Mapa final'!$AA$37="Moderado"),CONCATENATE("R10C",'Mapa final'!$O$37),"")</f>
        <v/>
      </c>
      <c r="W45" s="72" t="str">
        <f>IF(AND('Mapa final'!$Y$38="Baja",'Mapa final'!$AA$38="Moderado"),CONCATENATE("R10C",'Mapa final'!$O$38),"")</f>
        <v/>
      </c>
      <c r="X45" s="72" t="str">
        <f>IF(AND('Mapa final'!$Y$39="Baja",'Mapa final'!$AA$39="Moderado"),CONCATENATE("R10C",'Mapa final'!$O$39),"")</f>
        <v/>
      </c>
      <c r="Y45" s="72" t="str">
        <f>IF(AND('Mapa final'!$Y$40="Baja",'Mapa final'!$AA$40="Moderado"),CONCATENATE("R10C",'Mapa final'!$O$40),"")</f>
        <v/>
      </c>
      <c r="Z45" s="72" t="str">
        <f>IF(AND('Mapa final'!$Y$41="Baja",'Mapa final'!$AA$41="Moderado"),CONCATENATE("R10C",'Mapa final'!$O$41),"")</f>
        <v/>
      </c>
      <c r="AA45" s="73" t="str">
        <f>IF(AND('Mapa final'!$Y$42="Baja",'Mapa final'!$AA$42="Moderado"),CONCATENATE("R10C",'Mapa final'!$O$42),"")</f>
        <v/>
      </c>
      <c r="AB45" s="59" t="str">
        <f>IF(AND('Mapa final'!$Y$37="Baja",'Mapa final'!$AA$37="Mayor"),CONCATENATE("R10C",'Mapa final'!$O$37),"")</f>
        <v/>
      </c>
      <c r="AC45" s="60" t="str">
        <f>IF(AND('Mapa final'!$Y$38="Baja",'Mapa final'!$AA$38="Mayor"),CONCATENATE("R10C",'Mapa final'!$O$38),"")</f>
        <v/>
      </c>
      <c r="AD45" s="60" t="str">
        <f>IF(AND('Mapa final'!$Y$39="Baja",'Mapa final'!$AA$39="Mayor"),CONCATENATE("R10C",'Mapa final'!$O$39),"")</f>
        <v/>
      </c>
      <c r="AE45" s="60" t="str">
        <f>IF(AND('Mapa final'!$Y$40="Baja",'Mapa final'!$AA$40="Mayor"),CONCATENATE("R10C",'Mapa final'!$O$40),"")</f>
        <v/>
      </c>
      <c r="AF45" s="60" t="str">
        <f>IF(AND('Mapa final'!$Y$41="Baja",'Mapa final'!$AA$41="Mayor"),CONCATENATE("R10C",'Mapa final'!$O$41),"")</f>
        <v/>
      </c>
      <c r="AG45" s="61" t="str">
        <f>IF(AND('Mapa final'!$Y$42="Baja",'Mapa final'!$AA$42="Mayor"),CONCATENATE("R10C",'Mapa final'!$O$42),"")</f>
        <v/>
      </c>
      <c r="AH45" s="62" t="str">
        <f>IF(AND('Mapa final'!$Y$37="Baja",'Mapa final'!$AA$37="Catastrófico"),CONCATENATE("R10C",'Mapa final'!$O$37),"")</f>
        <v/>
      </c>
      <c r="AI45" s="63" t="str">
        <f>IF(AND('Mapa final'!$Y$38="Baja",'Mapa final'!$AA$38="Catastrófico"),CONCATENATE("R10C",'Mapa final'!$O$38),"")</f>
        <v/>
      </c>
      <c r="AJ45" s="63" t="str">
        <f>IF(AND('Mapa final'!$Y$39="Baja",'Mapa final'!$AA$39="Catastrófico"),CONCATENATE("R10C",'Mapa final'!$O$39),"")</f>
        <v/>
      </c>
      <c r="AK45" s="63" t="str">
        <f>IF(AND('Mapa final'!$Y$40="Baja",'Mapa final'!$AA$40="Catastrófico"),CONCATENATE("R10C",'Mapa final'!$O$40),"")</f>
        <v/>
      </c>
      <c r="AL45" s="63" t="str">
        <f>IF(AND('Mapa final'!$Y$41="Baja",'Mapa final'!$AA$41="Catastrófico"),CONCATENATE("R10C",'Mapa final'!$O$41),"")</f>
        <v/>
      </c>
      <c r="AM45" s="64" t="str">
        <f>IF(AND('Mapa final'!$Y$42="Baja",'Mapa final'!$AA$42="Catastrófico"),CONCATENATE("R10C",'Mapa final'!$O$42),"")</f>
        <v/>
      </c>
      <c r="AN45" s="84"/>
      <c r="AO45" s="420"/>
      <c r="AP45" s="421"/>
      <c r="AQ45" s="421"/>
      <c r="AR45" s="421"/>
      <c r="AS45" s="421"/>
      <c r="AT45" s="422"/>
    </row>
    <row r="46" spans="1:80" ht="46.5" customHeight="1" x14ac:dyDescent="0.35">
      <c r="A46" s="84"/>
      <c r="B46" s="295"/>
      <c r="C46" s="295"/>
      <c r="D46" s="296"/>
      <c r="E46" s="392" t="s">
        <v>113</v>
      </c>
      <c r="F46" s="393"/>
      <c r="G46" s="393"/>
      <c r="H46" s="393"/>
      <c r="I46" s="411"/>
      <c r="J46" s="74" t="str">
        <f>IF(AND('Mapa final'!$Y$10="Muy Baja",'Mapa final'!$AA$10="Leve"),CONCATENATE("R1C",'Mapa final'!$O$10),"")</f>
        <v/>
      </c>
      <c r="K46" s="75" t="e">
        <f>IF(AND('Mapa final'!#REF!="Muy Baja",'Mapa final'!#REF!="Leve"),CONCATENATE("R1C",'Mapa final'!#REF!),"")</f>
        <v>#REF!</v>
      </c>
      <c r="L46" s="75" t="e">
        <f>IF(AND('Mapa final'!#REF!="Muy Baja",'Mapa final'!#REF!="Leve"),CONCATENATE("R1C",'Mapa final'!#REF!),"")</f>
        <v>#REF!</v>
      </c>
      <c r="M46" s="75" t="e">
        <f>IF(AND('Mapa final'!#REF!="Muy Baja",'Mapa final'!#REF!="Leve"),CONCATENATE("R1C",'Mapa final'!#REF!),"")</f>
        <v>#REF!</v>
      </c>
      <c r="N46" s="75" t="e">
        <f>IF(AND('Mapa final'!#REF!="Muy Baja",'Mapa final'!#REF!="Leve"),CONCATENATE("R1C",'Mapa final'!#REF!),"")</f>
        <v>#REF!</v>
      </c>
      <c r="O46" s="76" t="e">
        <f>IF(AND('Mapa final'!#REF!="Muy Baja",'Mapa final'!#REF!="Leve"),CONCATENATE("R1C",'Mapa final'!#REF!),"")</f>
        <v>#REF!</v>
      </c>
      <c r="P46" s="74" t="str">
        <f>IF(AND('Mapa final'!$Y$10="Muy Baja",'Mapa final'!$AA$10="Menor"),CONCATENATE("R1C",'Mapa final'!$O$10),"")</f>
        <v/>
      </c>
      <c r="Q46" s="75" t="e">
        <f>IF(AND('Mapa final'!#REF!="Muy Baja",'Mapa final'!#REF!="Menor"),CONCATENATE("R1C",'Mapa final'!#REF!),"")</f>
        <v>#REF!</v>
      </c>
      <c r="R46" s="75" t="e">
        <f>IF(AND('Mapa final'!#REF!="Muy Baja",'Mapa final'!#REF!="Menor"),CONCATENATE("R1C",'Mapa final'!#REF!),"")</f>
        <v>#REF!</v>
      </c>
      <c r="S46" s="75" t="e">
        <f>IF(AND('Mapa final'!#REF!="Muy Baja",'Mapa final'!#REF!="Menor"),CONCATENATE("R1C",'Mapa final'!#REF!),"")</f>
        <v>#REF!</v>
      </c>
      <c r="T46" s="75" t="e">
        <f>IF(AND('Mapa final'!#REF!="Muy Baja",'Mapa final'!#REF!="Menor"),CONCATENATE("R1C",'Mapa final'!#REF!),"")</f>
        <v>#REF!</v>
      </c>
      <c r="U46" s="76" t="e">
        <f>IF(AND('Mapa final'!#REF!="Muy Baja",'Mapa final'!#REF!="Menor"),CONCATENATE("R1C",'Mapa final'!#REF!),"")</f>
        <v>#REF!</v>
      </c>
      <c r="V46" s="65" t="str">
        <f>IF(AND('Mapa final'!$Y$10="Muy Baja",'Mapa final'!$AA$10="Moderado"),CONCATENATE("R1C",'Mapa final'!$O$10),"")</f>
        <v/>
      </c>
      <c r="W46" s="83" t="e">
        <f>IF(AND('Mapa final'!#REF!="Muy Baja",'Mapa final'!#REF!="Moderado"),CONCATENATE("R1C",'Mapa final'!#REF!),"")</f>
        <v>#REF!</v>
      </c>
      <c r="X46" s="66" t="e">
        <f>IF(AND('Mapa final'!#REF!="Muy Baja",'Mapa final'!#REF!="Moderado"),CONCATENATE("R1C",'Mapa final'!#REF!),"")</f>
        <v>#REF!</v>
      </c>
      <c r="Y46" s="66" t="e">
        <f>IF(AND('Mapa final'!#REF!="Muy Baja",'Mapa final'!#REF!="Moderado"),CONCATENATE("R1C",'Mapa final'!#REF!),"")</f>
        <v>#REF!</v>
      </c>
      <c r="Z46" s="66" t="e">
        <f>IF(AND('Mapa final'!#REF!="Muy Baja",'Mapa final'!#REF!="Moderado"),CONCATENATE("R1C",'Mapa final'!#REF!),"")</f>
        <v>#REF!</v>
      </c>
      <c r="AA46" s="67" t="e">
        <f>IF(AND('Mapa final'!#REF!="Muy Baja",'Mapa final'!#REF!="Moderado"),CONCATENATE("R1C",'Mapa final'!#REF!),"")</f>
        <v>#REF!</v>
      </c>
      <c r="AB46" s="46" t="str">
        <f>IF(AND('Mapa final'!$Y$10="Muy Baja",'Mapa final'!$AA$10="Mayor"),CONCATENATE("R1C",'Mapa final'!$O$10),"")</f>
        <v/>
      </c>
      <c r="AC46" s="47" t="e">
        <f>IF(AND('Mapa final'!#REF!="Muy Baja",'Mapa final'!#REF!="Mayor"),CONCATENATE("R1C",'Mapa final'!#REF!),"")</f>
        <v>#REF!</v>
      </c>
      <c r="AD46" s="47" t="e">
        <f>IF(AND('Mapa final'!#REF!="Muy Baja",'Mapa final'!#REF!="Mayor"),CONCATENATE("R1C",'Mapa final'!#REF!),"")</f>
        <v>#REF!</v>
      </c>
      <c r="AE46" s="47" t="e">
        <f>IF(AND('Mapa final'!#REF!="Muy Baja",'Mapa final'!#REF!="Mayor"),CONCATENATE("R1C",'Mapa final'!#REF!),"")</f>
        <v>#REF!</v>
      </c>
      <c r="AF46" s="47" t="e">
        <f>IF(AND('Mapa final'!#REF!="Muy Baja",'Mapa final'!#REF!="Mayor"),CONCATENATE("R1C",'Mapa final'!#REF!),"")</f>
        <v>#REF!</v>
      </c>
      <c r="AG46" s="48" t="e">
        <f>IF(AND('Mapa final'!#REF!="Muy Baja",'Mapa final'!#REF!="Mayor"),CONCATENATE("R1C",'Mapa final'!#REF!),"")</f>
        <v>#REF!</v>
      </c>
      <c r="AH46" s="49" t="str">
        <f>IF(AND('Mapa final'!$Y$10="Muy Baja",'Mapa final'!$AA$10="Catastrófico"),CONCATENATE("R1C",'Mapa final'!$O$10),"")</f>
        <v/>
      </c>
      <c r="AI46" s="50" t="e">
        <f>IF(AND('Mapa final'!#REF!="Muy Baja",'Mapa final'!#REF!="Catastrófico"),CONCATENATE("R1C",'Mapa final'!#REF!),"")</f>
        <v>#REF!</v>
      </c>
      <c r="AJ46" s="50" t="e">
        <f>IF(AND('Mapa final'!#REF!="Muy Baja",'Mapa final'!#REF!="Catastrófico"),CONCATENATE("R1C",'Mapa final'!#REF!),"")</f>
        <v>#REF!</v>
      </c>
      <c r="AK46" s="50" t="e">
        <f>IF(AND('Mapa final'!#REF!="Muy Baja",'Mapa final'!#REF!="Catastrófico"),CONCATENATE("R1C",'Mapa final'!#REF!),"")</f>
        <v>#REF!</v>
      </c>
      <c r="AL46" s="50" t="e">
        <f>IF(AND('Mapa final'!#REF!="Muy Baja",'Mapa final'!#REF!="Catastrófico"),CONCATENATE("R1C",'Mapa final'!#REF!),"")</f>
        <v>#REF!</v>
      </c>
      <c r="AM46" s="51" t="e">
        <f>IF(AND('Mapa final'!#REF!="Muy Baja",'Mapa final'!#REF!="Catastrófico"),CONCATENATE("R1C",'Mapa final'!#REF!),"")</f>
        <v>#REF!</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x14ac:dyDescent="0.25">
      <c r="A47" s="84"/>
      <c r="B47" s="295"/>
      <c r="C47" s="295"/>
      <c r="D47" s="296"/>
      <c r="E47" s="394"/>
      <c r="F47" s="395"/>
      <c r="G47" s="395"/>
      <c r="H47" s="395"/>
      <c r="I47" s="412"/>
      <c r="J47" s="77" t="e">
        <f>IF(AND('Mapa final'!#REF!="Muy Baja",'Mapa final'!#REF!="Leve"),CONCATENATE("R2C",'Mapa final'!#REF!),"")</f>
        <v>#REF!</v>
      </c>
      <c r="K47" s="78" t="e">
        <f>IF(AND('Mapa final'!#REF!="Muy Baja",'Mapa final'!#REF!="Leve"),CONCATENATE("R2C",'Mapa final'!#REF!),"")</f>
        <v>#REF!</v>
      </c>
      <c r="L47" s="78" t="e">
        <f>IF(AND('Mapa final'!#REF!="Muy Baja",'Mapa final'!#REF!="Leve"),CONCATENATE("R2C",'Mapa final'!#REF!),"")</f>
        <v>#REF!</v>
      </c>
      <c r="M47" s="78" t="e">
        <f>IF(AND('Mapa final'!#REF!="Muy Baja",'Mapa final'!#REF!="Leve"),CONCATENATE("R2C",'Mapa final'!#REF!),"")</f>
        <v>#REF!</v>
      </c>
      <c r="N47" s="78" t="e">
        <f>IF(AND('Mapa final'!#REF!="Muy Baja",'Mapa final'!#REF!="Leve"),CONCATENATE("R2C",'Mapa final'!#REF!),"")</f>
        <v>#REF!</v>
      </c>
      <c r="O47" s="79" t="e">
        <f>IF(AND('Mapa final'!#REF!="Muy Baja",'Mapa final'!#REF!="Leve"),CONCATENATE("R2C",'Mapa final'!#REF!),"")</f>
        <v>#REF!</v>
      </c>
      <c r="P47" s="77" t="e">
        <f>IF(AND('Mapa final'!#REF!="Muy Baja",'Mapa final'!#REF!="Menor"),CONCATENATE("R2C",'Mapa final'!#REF!),"")</f>
        <v>#REF!</v>
      </c>
      <c r="Q47" s="78" t="e">
        <f>IF(AND('Mapa final'!#REF!="Muy Baja",'Mapa final'!#REF!="Menor"),CONCATENATE("R2C",'Mapa final'!#REF!),"")</f>
        <v>#REF!</v>
      </c>
      <c r="R47" s="78" t="e">
        <f>IF(AND('Mapa final'!#REF!="Muy Baja",'Mapa final'!#REF!="Menor"),CONCATENATE("R2C",'Mapa final'!#REF!),"")</f>
        <v>#REF!</v>
      </c>
      <c r="S47" s="78" t="e">
        <f>IF(AND('Mapa final'!#REF!="Muy Baja",'Mapa final'!#REF!="Menor"),CONCATENATE("R2C",'Mapa final'!#REF!),"")</f>
        <v>#REF!</v>
      </c>
      <c r="T47" s="78" t="e">
        <f>IF(AND('Mapa final'!#REF!="Muy Baja",'Mapa final'!#REF!="Menor"),CONCATENATE("R2C",'Mapa final'!#REF!),"")</f>
        <v>#REF!</v>
      </c>
      <c r="U47" s="79" t="e">
        <f>IF(AND('Mapa final'!#REF!="Muy Baja",'Mapa final'!#REF!="Menor"),CONCATENATE("R2C",'Mapa final'!#REF!),"")</f>
        <v>#REF!</v>
      </c>
      <c r="V47" s="68" t="e">
        <f>IF(AND('Mapa final'!#REF!="Muy Baja",'Mapa final'!#REF!="Moderado"),CONCATENATE("R2C",'Mapa final'!#REF!),"")</f>
        <v>#REF!</v>
      </c>
      <c r="W47" s="69" t="e">
        <f>IF(AND('Mapa final'!#REF!="Muy Baja",'Mapa final'!#REF!="Moderado"),CONCATENATE("R2C",'Mapa final'!#REF!),"")</f>
        <v>#REF!</v>
      </c>
      <c r="X47" s="69" t="e">
        <f>IF(AND('Mapa final'!#REF!="Muy Baja",'Mapa final'!#REF!="Moderado"),CONCATENATE("R2C",'Mapa final'!#REF!),"")</f>
        <v>#REF!</v>
      </c>
      <c r="Y47" s="69" t="e">
        <f>IF(AND('Mapa final'!#REF!="Muy Baja",'Mapa final'!#REF!="Moderado"),CONCATENATE("R2C",'Mapa final'!#REF!),"")</f>
        <v>#REF!</v>
      </c>
      <c r="Z47" s="69" t="e">
        <f>IF(AND('Mapa final'!#REF!="Muy Baja",'Mapa final'!#REF!="Moderado"),CONCATENATE("R2C",'Mapa final'!#REF!),"")</f>
        <v>#REF!</v>
      </c>
      <c r="AA47" s="70" t="e">
        <f>IF(AND('Mapa final'!#REF!="Muy Baja",'Mapa final'!#REF!="Moderado"),CONCATENATE("R2C",'Mapa final'!#REF!),"")</f>
        <v>#REF!</v>
      </c>
      <c r="AB47" s="52" t="e">
        <f>IF(AND('Mapa final'!#REF!="Muy Baja",'Mapa final'!#REF!="Mayor"),CONCATENATE("R2C",'Mapa final'!#REF!),"")</f>
        <v>#REF!</v>
      </c>
      <c r="AC47" s="53" t="e">
        <f>IF(AND('Mapa final'!#REF!="Muy Baja",'Mapa final'!#REF!="Mayor"),CONCATENATE("R2C",'Mapa final'!#REF!),"")</f>
        <v>#REF!</v>
      </c>
      <c r="AD47" s="53" t="e">
        <f>IF(AND('Mapa final'!#REF!="Muy Baja",'Mapa final'!#REF!="Mayor"),CONCATENATE("R2C",'Mapa final'!#REF!),"")</f>
        <v>#REF!</v>
      </c>
      <c r="AE47" s="53" t="e">
        <f>IF(AND('Mapa final'!#REF!="Muy Baja",'Mapa final'!#REF!="Mayor"),CONCATENATE("R2C",'Mapa final'!#REF!),"")</f>
        <v>#REF!</v>
      </c>
      <c r="AF47" s="53" t="e">
        <f>IF(AND('Mapa final'!#REF!="Muy Baja",'Mapa final'!#REF!="Mayor"),CONCATENATE("R2C",'Mapa final'!#REF!),"")</f>
        <v>#REF!</v>
      </c>
      <c r="AG47" s="54" t="e">
        <f>IF(AND('Mapa final'!#REF!="Muy Baja",'Mapa final'!#REF!="Mayor"),CONCATENATE("R2C",'Mapa final'!#REF!),"")</f>
        <v>#REF!</v>
      </c>
      <c r="AH47" s="55" t="e">
        <f>IF(AND('Mapa final'!#REF!="Muy Baja",'Mapa final'!#REF!="Catastrófico"),CONCATENATE("R2C",'Mapa final'!#REF!),"")</f>
        <v>#REF!</v>
      </c>
      <c r="AI47" s="56" t="e">
        <f>IF(AND('Mapa final'!#REF!="Muy Baja",'Mapa final'!#REF!="Catastrófico"),CONCATENATE("R2C",'Mapa final'!#REF!),"")</f>
        <v>#REF!</v>
      </c>
      <c r="AJ47" s="56" t="e">
        <f>IF(AND('Mapa final'!#REF!="Muy Baja",'Mapa final'!#REF!="Catastrófico"),CONCATENATE("R2C",'Mapa final'!#REF!),"")</f>
        <v>#REF!</v>
      </c>
      <c r="AK47" s="56" t="e">
        <f>IF(AND('Mapa final'!#REF!="Muy Baja",'Mapa final'!#REF!="Catastrófico"),CONCATENATE("R2C",'Mapa final'!#REF!),"")</f>
        <v>#REF!</v>
      </c>
      <c r="AL47" s="56" t="e">
        <f>IF(AND('Mapa final'!#REF!="Muy Baja",'Mapa final'!#REF!="Catastrófico"),CONCATENATE("R2C",'Mapa final'!#REF!),"")</f>
        <v>#REF!</v>
      </c>
      <c r="AM47" s="57" t="e">
        <f>IF(AND('Mapa final'!#REF!="Muy Baja",'Mapa final'!#REF!="Catastrófico"),CONCATENATE("R2C",'Mapa final'!#REF!),"")</f>
        <v>#REF!</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x14ac:dyDescent="0.25">
      <c r="A48" s="84"/>
      <c r="B48" s="295"/>
      <c r="C48" s="295"/>
      <c r="D48" s="296"/>
      <c r="E48" s="394"/>
      <c r="F48" s="395"/>
      <c r="G48" s="395"/>
      <c r="H48" s="395"/>
      <c r="I48" s="412"/>
      <c r="J48" s="77" t="e">
        <f>IF(AND('Mapa final'!#REF!="Muy Baja",'Mapa final'!#REF!="Leve"),CONCATENATE("R3C",'Mapa final'!#REF!),"")</f>
        <v>#REF!</v>
      </c>
      <c r="K48" s="78" t="str">
        <f>IF(AND('Mapa final'!$Y$11="Muy Baja",'Mapa final'!$AA$11="Leve"),CONCATENATE("R3C",'Mapa final'!$O$11),"")</f>
        <v/>
      </c>
      <c r="L48" s="78" t="e">
        <f>IF(AND('Mapa final'!#REF!="Muy Baja",'Mapa final'!#REF!="Leve"),CONCATENATE("R3C",'Mapa final'!#REF!),"")</f>
        <v>#REF!</v>
      </c>
      <c r="M48" s="78" t="e">
        <f>IF(AND('Mapa final'!#REF!="Muy Baja",'Mapa final'!#REF!="Leve"),CONCATENATE("R3C",'Mapa final'!#REF!),"")</f>
        <v>#REF!</v>
      </c>
      <c r="N48" s="78" t="e">
        <f>IF(AND('Mapa final'!#REF!="Muy Baja",'Mapa final'!#REF!="Leve"),CONCATENATE("R3C",'Mapa final'!#REF!),"")</f>
        <v>#REF!</v>
      </c>
      <c r="O48" s="79" t="e">
        <f>IF(AND('Mapa final'!#REF!="Muy Baja",'Mapa final'!#REF!="Leve"),CONCATENATE("R3C",'Mapa final'!#REF!),"")</f>
        <v>#REF!</v>
      </c>
      <c r="P48" s="77" t="e">
        <f>IF(AND('Mapa final'!#REF!="Muy Baja",'Mapa final'!#REF!="Menor"),CONCATENATE("R3C",'Mapa final'!#REF!),"")</f>
        <v>#REF!</v>
      </c>
      <c r="Q48" s="78" t="str">
        <f>IF(AND('Mapa final'!$Y$11="Muy Baja",'Mapa final'!$AA$11="Menor"),CONCATENATE("R3C",'Mapa final'!$O$11),"")</f>
        <v/>
      </c>
      <c r="R48" s="78" t="e">
        <f>IF(AND('Mapa final'!#REF!="Muy Baja",'Mapa final'!#REF!="Menor"),CONCATENATE("R3C",'Mapa final'!#REF!),"")</f>
        <v>#REF!</v>
      </c>
      <c r="S48" s="78" t="e">
        <f>IF(AND('Mapa final'!#REF!="Muy Baja",'Mapa final'!#REF!="Menor"),CONCATENATE("R3C",'Mapa final'!#REF!),"")</f>
        <v>#REF!</v>
      </c>
      <c r="T48" s="78" t="e">
        <f>IF(AND('Mapa final'!#REF!="Muy Baja",'Mapa final'!#REF!="Menor"),CONCATENATE("R3C",'Mapa final'!#REF!),"")</f>
        <v>#REF!</v>
      </c>
      <c r="U48" s="79" t="e">
        <f>IF(AND('Mapa final'!#REF!="Muy Baja",'Mapa final'!#REF!="Menor"),CONCATENATE("R3C",'Mapa final'!#REF!),"")</f>
        <v>#REF!</v>
      </c>
      <c r="V48" s="68" t="e">
        <f>IF(AND('Mapa final'!#REF!="Muy Baja",'Mapa final'!#REF!="Moderado"),CONCATENATE("R3C",'Mapa final'!#REF!),"")</f>
        <v>#REF!</v>
      </c>
      <c r="W48" s="69" t="str">
        <f>IF(AND('Mapa final'!$Y$11="Muy Baja",'Mapa final'!$AA$11="Moderado"),CONCATENATE("R3C",'Mapa final'!$O$11),"")</f>
        <v/>
      </c>
      <c r="X48" s="69" t="e">
        <f>IF(AND('Mapa final'!#REF!="Muy Baja",'Mapa final'!#REF!="Moderado"),CONCATENATE("R3C",'Mapa final'!#REF!),"")</f>
        <v>#REF!</v>
      </c>
      <c r="Y48" s="69" t="e">
        <f>IF(AND('Mapa final'!#REF!="Muy Baja",'Mapa final'!#REF!="Moderado"),CONCATENATE("R3C",'Mapa final'!#REF!),"")</f>
        <v>#REF!</v>
      </c>
      <c r="Z48" s="69" t="e">
        <f>IF(AND('Mapa final'!#REF!="Muy Baja",'Mapa final'!#REF!="Moderado"),CONCATENATE("R3C",'Mapa final'!#REF!),"")</f>
        <v>#REF!</v>
      </c>
      <c r="AA48" s="70" t="e">
        <f>IF(AND('Mapa final'!#REF!="Muy Baja",'Mapa final'!#REF!="Moderado"),CONCATENATE("R3C",'Mapa final'!#REF!),"")</f>
        <v>#REF!</v>
      </c>
      <c r="AB48" s="52" t="e">
        <f>IF(AND('Mapa final'!#REF!="Muy Baja",'Mapa final'!#REF!="Mayor"),CONCATENATE("R3C",'Mapa final'!#REF!),"")</f>
        <v>#REF!</v>
      </c>
      <c r="AC48" s="53" t="str">
        <f>IF(AND('Mapa final'!$Y$11="Muy Baja",'Mapa final'!$AA$11="Mayor"),CONCATENATE("R3C",'Mapa final'!$O$11),"")</f>
        <v/>
      </c>
      <c r="AD48" s="53" t="e">
        <f>IF(AND('Mapa final'!#REF!="Muy Baja",'Mapa final'!#REF!="Mayor"),CONCATENATE("R3C",'Mapa final'!#REF!),"")</f>
        <v>#REF!</v>
      </c>
      <c r="AE48" s="53" t="e">
        <f>IF(AND('Mapa final'!#REF!="Muy Baja",'Mapa final'!#REF!="Mayor"),CONCATENATE("R3C",'Mapa final'!#REF!),"")</f>
        <v>#REF!</v>
      </c>
      <c r="AF48" s="53" t="e">
        <f>IF(AND('Mapa final'!#REF!="Muy Baja",'Mapa final'!#REF!="Mayor"),CONCATENATE("R3C",'Mapa final'!#REF!),"")</f>
        <v>#REF!</v>
      </c>
      <c r="AG48" s="54" t="e">
        <f>IF(AND('Mapa final'!#REF!="Muy Baja",'Mapa final'!#REF!="Mayor"),CONCATENATE("R3C",'Mapa final'!#REF!),"")</f>
        <v>#REF!</v>
      </c>
      <c r="AH48" s="55" t="e">
        <f>IF(AND('Mapa final'!#REF!="Muy Baja",'Mapa final'!#REF!="Catastrófico"),CONCATENATE("R3C",'Mapa final'!#REF!),"")</f>
        <v>#REF!</v>
      </c>
      <c r="AI48" s="56" t="str">
        <f>IF(AND('Mapa final'!$Y$11="Muy Baja",'Mapa final'!$AA$11="Catastrófico"),CONCATENATE("R3C",'Mapa final'!$O$11),"")</f>
        <v/>
      </c>
      <c r="AJ48" s="56" t="e">
        <f>IF(AND('Mapa final'!#REF!="Muy Baja",'Mapa final'!#REF!="Catastrófico"),CONCATENATE("R3C",'Mapa final'!#REF!),"")</f>
        <v>#REF!</v>
      </c>
      <c r="AK48" s="56" t="e">
        <f>IF(AND('Mapa final'!#REF!="Muy Baja",'Mapa final'!#REF!="Catastrófico"),CONCATENATE("R3C",'Mapa final'!#REF!),"")</f>
        <v>#REF!</v>
      </c>
      <c r="AL48" s="56" t="e">
        <f>IF(AND('Mapa final'!#REF!="Muy Baja",'Mapa final'!#REF!="Catastrófico"),CONCATENATE("R3C",'Mapa final'!#REF!),"")</f>
        <v>#REF!</v>
      </c>
      <c r="AM48" s="57" t="e">
        <f>IF(AND('Mapa final'!#REF!="Muy Baja",'Mapa final'!#REF!="Catastrófico"),CONCATENATE("R3C",'Mapa final'!#REF!),"")</f>
        <v>#REF!</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x14ac:dyDescent="0.25">
      <c r="A49" s="84"/>
      <c r="B49" s="295"/>
      <c r="C49" s="295"/>
      <c r="D49" s="296"/>
      <c r="E49" s="396"/>
      <c r="F49" s="397"/>
      <c r="G49" s="397"/>
      <c r="H49" s="397"/>
      <c r="I49" s="412"/>
      <c r="J49" s="77" t="str">
        <f>IF(AND('Mapa final'!$Y$12="Muy Baja",'Mapa final'!$AA$12="Leve"),CONCATENATE("R4C",'Mapa final'!$O$12),"")</f>
        <v/>
      </c>
      <c r="K49" s="78" t="e">
        <f>IF(AND('Mapa final'!#REF!="Muy Baja",'Mapa final'!#REF!="Leve"),CONCATENATE("R4C",'Mapa final'!#REF!),"")</f>
        <v>#REF!</v>
      </c>
      <c r="L49" s="78" t="e">
        <f>IF(AND('Mapa final'!#REF!="Muy Baja",'Mapa final'!#REF!="Leve"),CONCATENATE("R4C",'Mapa final'!#REF!),"")</f>
        <v>#REF!</v>
      </c>
      <c r="M49" s="78" t="e">
        <f>IF(AND('Mapa final'!#REF!="Muy Baja",'Mapa final'!#REF!="Leve"),CONCATENATE("R4C",'Mapa final'!#REF!),"")</f>
        <v>#REF!</v>
      </c>
      <c r="N49" s="78" t="e">
        <f>IF(AND('Mapa final'!#REF!="Muy Baja",'Mapa final'!#REF!="Leve"),CONCATENATE("R4C",'Mapa final'!#REF!),"")</f>
        <v>#REF!</v>
      </c>
      <c r="O49" s="79" t="e">
        <f>IF(AND('Mapa final'!#REF!="Muy Baja",'Mapa final'!#REF!="Leve"),CONCATENATE("R4C",'Mapa final'!#REF!),"")</f>
        <v>#REF!</v>
      </c>
      <c r="P49" s="77" t="str">
        <f>IF(AND('Mapa final'!$Y$12="Muy Baja",'Mapa final'!$AA$12="Menor"),CONCATENATE("R4C",'Mapa final'!$O$12),"")</f>
        <v/>
      </c>
      <c r="Q49" s="78" t="e">
        <f>IF(AND('Mapa final'!#REF!="Muy Baja",'Mapa final'!#REF!="Menor"),CONCATENATE("R4C",'Mapa final'!#REF!),"")</f>
        <v>#REF!</v>
      </c>
      <c r="R49" s="78" t="e">
        <f>IF(AND('Mapa final'!#REF!="Muy Baja",'Mapa final'!#REF!="Menor"),CONCATENATE("R4C",'Mapa final'!#REF!),"")</f>
        <v>#REF!</v>
      </c>
      <c r="S49" s="78" t="e">
        <f>IF(AND('Mapa final'!#REF!="Muy Baja",'Mapa final'!#REF!="Menor"),CONCATENATE("R4C",'Mapa final'!#REF!),"")</f>
        <v>#REF!</v>
      </c>
      <c r="T49" s="78" t="e">
        <f>IF(AND('Mapa final'!#REF!="Muy Baja",'Mapa final'!#REF!="Menor"),CONCATENATE("R4C",'Mapa final'!#REF!),"")</f>
        <v>#REF!</v>
      </c>
      <c r="U49" s="79" t="e">
        <f>IF(AND('Mapa final'!#REF!="Muy Baja",'Mapa final'!#REF!="Menor"),CONCATENATE("R4C",'Mapa final'!#REF!),"")</f>
        <v>#REF!</v>
      </c>
      <c r="V49" s="68" t="str">
        <f>IF(AND('Mapa final'!$Y$12="Muy Baja",'Mapa final'!$AA$12="Moderado"),CONCATENATE("R4C",'Mapa final'!$O$12),"")</f>
        <v/>
      </c>
      <c r="W49" s="69" t="e">
        <f>IF(AND('Mapa final'!#REF!="Muy Baja",'Mapa final'!#REF!="Moderado"),CONCATENATE("R4C",'Mapa final'!#REF!),"")</f>
        <v>#REF!</v>
      </c>
      <c r="X49" s="69" t="e">
        <f>IF(AND('Mapa final'!#REF!="Muy Baja",'Mapa final'!#REF!="Moderado"),CONCATENATE("R4C",'Mapa final'!#REF!),"")</f>
        <v>#REF!</v>
      </c>
      <c r="Y49" s="69" t="e">
        <f>IF(AND('Mapa final'!#REF!="Muy Baja",'Mapa final'!#REF!="Moderado"),CONCATENATE("R4C",'Mapa final'!#REF!),"")</f>
        <v>#REF!</v>
      </c>
      <c r="Z49" s="69" t="e">
        <f>IF(AND('Mapa final'!#REF!="Muy Baja",'Mapa final'!#REF!="Moderado"),CONCATENATE("R4C",'Mapa final'!#REF!),"")</f>
        <v>#REF!</v>
      </c>
      <c r="AA49" s="70" t="e">
        <f>IF(AND('Mapa final'!#REF!="Muy Baja",'Mapa final'!#REF!="Moderado"),CONCATENATE("R4C",'Mapa final'!#REF!),"")</f>
        <v>#REF!</v>
      </c>
      <c r="AB49" s="52" t="str">
        <f>IF(AND('Mapa final'!$Y$12="Muy Baja",'Mapa final'!$AA$12="Mayor"),CONCATENATE("R4C",'Mapa final'!$O$12),"")</f>
        <v/>
      </c>
      <c r="AC49" s="53" t="e">
        <f>IF(AND('Mapa final'!#REF!="Muy Baja",'Mapa final'!#REF!="Mayor"),CONCATENATE("R4C",'Mapa final'!#REF!),"")</f>
        <v>#REF!</v>
      </c>
      <c r="AD49" s="53" t="e">
        <f>IF(AND('Mapa final'!#REF!="Muy Baja",'Mapa final'!#REF!="Mayor"),CONCATENATE("R4C",'Mapa final'!#REF!),"")</f>
        <v>#REF!</v>
      </c>
      <c r="AE49" s="53" t="e">
        <f>IF(AND('Mapa final'!#REF!="Muy Baja",'Mapa final'!#REF!="Mayor"),CONCATENATE("R4C",'Mapa final'!#REF!),"")</f>
        <v>#REF!</v>
      </c>
      <c r="AF49" s="53" t="e">
        <f>IF(AND('Mapa final'!#REF!="Muy Baja",'Mapa final'!#REF!="Mayor"),CONCATENATE("R4C",'Mapa final'!#REF!),"")</f>
        <v>#REF!</v>
      </c>
      <c r="AG49" s="54" t="e">
        <f>IF(AND('Mapa final'!#REF!="Muy Baja",'Mapa final'!#REF!="Mayor"),CONCATENATE("R4C",'Mapa final'!#REF!),"")</f>
        <v>#REF!</v>
      </c>
      <c r="AH49" s="55" t="str">
        <f>IF(AND('Mapa final'!$Y$12="Muy Baja",'Mapa final'!$AA$12="Catastrófico"),CONCATENATE("R4C",'Mapa final'!$O$12),"")</f>
        <v/>
      </c>
      <c r="AI49" s="56" t="e">
        <f>IF(AND('Mapa final'!#REF!="Muy Baja",'Mapa final'!#REF!="Catastrófico"),CONCATENATE("R4C",'Mapa final'!#REF!),"")</f>
        <v>#REF!</v>
      </c>
      <c r="AJ49" s="56" t="e">
        <f>IF(AND('Mapa final'!#REF!="Muy Baja",'Mapa final'!#REF!="Catastrófico"),CONCATENATE("R4C",'Mapa final'!#REF!),"")</f>
        <v>#REF!</v>
      </c>
      <c r="AK49" s="56" t="e">
        <f>IF(AND('Mapa final'!#REF!="Muy Baja",'Mapa final'!#REF!="Catastrófico"),CONCATENATE("R4C",'Mapa final'!#REF!),"")</f>
        <v>#REF!</v>
      </c>
      <c r="AL49" s="56" t="e">
        <f>IF(AND('Mapa final'!#REF!="Muy Baja",'Mapa final'!#REF!="Catastrófico"),CONCATENATE("R4C",'Mapa final'!#REF!),"")</f>
        <v>#REF!</v>
      </c>
      <c r="AM49" s="57" t="e">
        <f>IF(AND('Mapa final'!#REF!="Muy Baja",'Mapa final'!#REF!="Catastrófico"),CONCATENATE("R4C",'Mapa final'!#REF!),"")</f>
        <v>#REF!</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x14ac:dyDescent="0.25">
      <c r="A50" s="84"/>
      <c r="B50" s="295"/>
      <c r="C50" s="295"/>
      <c r="D50" s="296"/>
      <c r="E50" s="396"/>
      <c r="F50" s="397"/>
      <c r="G50" s="397"/>
      <c r="H50" s="397"/>
      <c r="I50" s="412"/>
      <c r="J50" s="77" t="e">
        <f>IF(AND('Mapa final'!#REF!="Muy Baja",'Mapa final'!#REF!="Leve"),CONCATENATE("R5C",'Mapa final'!#REF!),"")</f>
        <v>#REF!</v>
      </c>
      <c r="K50" s="78" t="e">
        <f>IF(AND('Mapa final'!#REF!="Muy Baja",'Mapa final'!#REF!="Leve"),CONCATENATE("R5C",'Mapa final'!#REF!),"")</f>
        <v>#REF!</v>
      </c>
      <c r="L50" s="78" t="e">
        <f>IF(AND('Mapa final'!#REF!="Muy Baja",'Mapa final'!#REF!="Leve"),CONCATENATE("R5C",'Mapa final'!#REF!),"")</f>
        <v>#REF!</v>
      </c>
      <c r="M50" s="78" t="e">
        <f>IF(AND('Mapa final'!#REF!="Muy Baja",'Mapa final'!#REF!="Leve"),CONCATENATE("R5C",'Mapa final'!#REF!),"")</f>
        <v>#REF!</v>
      </c>
      <c r="N50" s="78" t="e">
        <f>IF(AND('Mapa final'!#REF!="Muy Baja",'Mapa final'!#REF!="Leve"),CONCATENATE("R5C",'Mapa final'!#REF!),"")</f>
        <v>#REF!</v>
      </c>
      <c r="O50" s="79" t="e">
        <f>IF(AND('Mapa final'!#REF!="Muy Baja",'Mapa final'!#REF!="Leve"),CONCATENATE("R5C",'Mapa final'!#REF!),"")</f>
        <v>#REF!</v>
      </c>
      <c r="P50" s="77" t="e">
        <f>IF(AND('Mapa final'!#REF!="Muy Baja",'Mapa final'!#REF!="Menor"),CONCATENATE("R5C",'Mapa final'!#REF!),"")</f>
        <v>#REF!</v>
      </c>
      <c r="Q50" s="78" t="e">
        <f>IF(AND('Mapa final'!#REF!="Muy Baja",'Mapa final'!#REF!="Menor"),CONCATENATE("R5C",'Mapa final'!#REF!),"")</f>
        <v>#REF!</v>
      </c>
      <c r="R50" s="78" t="e">
        <f>IF(AND('Mapa final'!#REF!="Muy Baja",'Mapa final'!#REF!="Menor"),CONCATENATE("R5C",'Mapa final'!#REF!),"")</f>
        <v>#REF!</v>
      </c>
      <c r="S50" s="78" t="e">
        <f>IF(AND('Mapa final'!#REF!="Muy Baja",'Mapa final'!#REF!="Menor"),CONCATENATE("R5C",'Mapa final'!#REF!),"")</f>
        <v>#REF!</v>
      </c>
      <c r="T50" s="78" t="e">
        <f>IF(AND('Mapa final'!#REF!="Muy Baja",'Mapa final'!#REF!="Menor"),CONCATENATE("R5C",'Mapa final'!#REF!),"")</f>
        <v>#REF!</v>
      </c>
      <c r="U50" s="79" t="e">
        <f>IF(AND('Mapa final'!#REF!="Muy Baja",'Mapa final'!#REF!="Menor"),CONCATENATE("R5C",'Mapa final'!#REF!),"")</f>
        <v>#REF!</v>
      </c>
      <c r="V50" s="68" t="e">
        <f>IF(AND('Mapa final'!#REF!="Muy Baja",'Mapa final'!#REF!="Moderado"),CONCATENATE("R5C",'Mapa final'!#REF!),"")</f>
        <v>#REF!</v>
      </c>
      <c r="W50" s="69" t="e">
        <f>IF(AND('Mapa final'!#REF!="Muy Baja",'Mapa final'!#REF!="Moderado"),CONCATENATE("R5C",'Mapa final'!#REF!),"")</f>
        <v>#REF!</v>
      </c>
      <c r="X50" s="69" t="e">
        <f>IF(AND('Mapa final'!#REF!="Muy Baja",'Mapa final'!#REF!="Moderado"),CONCATENATE("R5C",'Mapa final'!#REF!),"")</f>
        <v>#REF!</v>
      </c>
      <c r="Y50" s="69" t="e">
        <f>IF(AND('Mapa final'!#REF!="Muy Baja",'Mapa final'!#REF!="Moderado"),CONCATENATE("R5C",'Mapa final'!#REF!),"")</f>
        <v>#REF!</v>
      </c>
      <c r="Z50" s="69" t="e">
        <f>IF(AND('Mapa final'!#REF!="Muy Baja",'Mapa final'!#REF!="Moderado"),CONCATENATE("R5C",'Mapa final'!#REF!),"")</f>
        <v>#REF!</v>
      </c>
      <c r="AA50" s="70" t="e">
        <f>IF(AND('Mapa final'!#REF!="Muy Baja",'Mapa final'!#REF!="Moderado"),CONCATENATE("R5C",'Mapa final'!#REF!),"")</f>
        <v>#REF!</v>
      </c>
      <c r="AB50" s="52" t="e">
        <f>IF(AND('Mapa final'!#REF!="Muy Baja",'Mapa final'!#REF!="Mayor"),CONCATENATE("R5C",'Mapa final'!#REF!),"")</f>
        <v>#REF!</v>
      </c>
      <c r="AC50" s="53" t="e">
        <f>IF(AND('Mapa final'!#REF!="Muy Baja",'Mapa final'!#REF!="Mayor"),CONCATENATE("R5C",'Mapa final'!#REF!),"")</f>
        <v>#REF!</v>
      </c>
      <c r="AD50" s="58" t="e">
        <f>IF(AND('Mapa final'!#REF!="Muy Baja",'Mapa final'!#REF!="Mayor"),CONCATENATE("R5C",'Mapa final'!#REF!),"")</f>
        <v>#REF!</v>
      </c>
      <c r="AE50" s="58" t="e">
        <f>IF(AND('Mapa final'!#REF!="Muy Baja",'Mapa final'!#REF!="Mayor"),CONCATENATE("R5C",'Mapa final'!#REF!),"")</f>
        <v>#REF!</v>
      </c>
      <c r="AF50" s="58" t="e">
        <f>IF(AND('Mapa final'!#REF!="Muy Baja",'Mapa final'!#REF!="Mayor"),CONCATENATE("R5C",'Mapa final'!#REF!),"")</f>
        <v>#REF!</v>
      </c>
      <c r="AG50" s="54" t="e">
        <f>IF(AND('Mapa final'!#REF!="Muy Baja",'Mapa final'!#REF!="Mayor"),CONCATENATE("R5C",'Mapa final'!#REF!),"")</f>
        <v>#REF!</v>
      </c>
      <c r="AH50" s="55" t="e">
        <f>IF(AND('Mapa final'!#REF!="Muy Baja",'Mapa final'!#REF!="Catastrófico"),CONCATENATE("R5C",'Mapa final'!#REF!),"")</f>
        <v>#REF!</v>
      </c>
      <c r="AI50" s="56" t="e">
        <f>IF(AND('Mapa final'!#REF!="Muy Baja",'Mapa final'!#REF!="Catastrófico"),CONCATENATE("R5C",'Mapa final'!#REF!),"")</f>
        <v>#REF!</v>
      </c>
      <c r="AJ50" s="56" t="e">
        <f>IF(AND('Mapa final'!#REF!="Muy Baja",'Mapa final'!#REF!="Catastrófico"),CONCATENATE("R5C",'Mapa final'!#REF!),"")</f>
        <v>#REF!</v>
      </c>
      <c r="AK50" s="56" t="e">
        <f>IF(AND('Mapa final'!#REF!="Muy Baja",'Mapa final'!#REF!="Catastrófico"),CONCATENATE("R5C",'Mapa final'!#REF!),"")</f>
        <v>#REF!</v>
      </c>
      <c r="AL50" s="56" t="e">
        <f>IF(AND('Mapa final'!#REF!="Muy Baja",'Mapa final'!#REF!="Catastrófico"),CONCATENATE("R5C",'Mapa final'!#REF!),"")</f>
        <v>#REF!</v>
      </c>
      <c r="AM50" s="57" t="e">
        <f>IF(AND('Mapa final'!#REF!="Muy Baja",'Mapa final'!#REF!="Catastrófico"),CONCATENATE("R5C",'Mapa final'!#REF!),"")</f>
        <v>#REF!</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x14ac:dyDescent="0.25">
      <c r="A51" s="84"/>
      <c r="B51" s="295"/>
      <c r="C51" s="295"/>
      <c r="D51" s="296"/>
      <c r="E51" s="396"/>
      <c r="F51" s="397"/>
      <c r="G51" s="397"/>
      <c r="H51" s="397"/>
      <c r="I51" s="412"/>
      <c r="J51" s="77" t="str">
        <f>IF(AND('Mapa final'!$Y$13="Muy Baja",'Mapa final'!$AA$13="Leve"),CONCATENATE("R6C",'Mapa final'!$O$13),"")</f>
        <v/>
      </c>
      <c r="K51" s="78" t="str">
        <f>IF(AND('Mapa final'!$Y$14="Muy Baja",'Mapa final'!$AA$14="Leve"),CONCATENATE("R6C",'Mapa final'!$O$14),"")</f>
        <v/>
      </c>
      <c r="L51" s="78" t="str">
        <f>IF(AND('Mapa final'!$Y$15="Muy Baja",'Mapa final'!$AA$15="Leve"),CONCATENATE("R6C",'Mapa final'!$O$15),"")</f>
        <v/>
      </c>
      <c r="M51" s="78" t="str">
        <f>IF(AND('Mapa final'!$Y$16="Muy Baja",'Mapa final'!$AA$16="Leve"),CONCATENATE("R6C",'Mapa final'!$O$16),"")</f>
        <v/>
      </c>
      <c r="N51" s="78" t="str">
        <f>IF(AND('Mapa final'!$Y$17="Muy Baja",'Mapa final'!$AA$17="Leve"),CONCATENATE("R6C",'Mapa final'!$O$17),"")</f>
        <v/>
      </c>
      <c r="O51" s="79" t="str">
        <f>IF(AND('Mapa final'!$Y$18="Muy Baja",'Mapa final'!$AA$18="Leve"),CONCATENATE("R6C",'Mapa final'!$O$18),"")</f>
        <v/>
      </c>
      <c r="P51" s="77" t="str">
        <f>IF(AND('Mapa final'!$Y$13="Muy Baja",'Mapa final'!$AA$13="Menor"),CONCATENATE("R6C",'Mapa final'!$O$13),"")</f>
        <v/>
      </c>
      <c r="Q51" s="78" t="str">
        <f>IF(AND('Mapa final'!$Y$14="Muy Baja",'Mapa final'!$AA$14="Menor"),CONCATENATE("R6C",'Mapa final'!$O$14),"")</f>
        <v/>
      </c>
      <c r="R51" s="78" t="str">
        <f>IF(AND('Mapa final'!$Y$15="Muy Baja",'Mapa final'!$AA$15="Menor"),CONCATENATE("R6C",'Mapa final'!$O$15),"")</f>
        <v/>
      </c>
      <c r="S51" s="78" t="str">
        <f>IF(AND('Mapa final'!$Y$16="Muy Baja",'Mapa final'!$AA$16="Menor"),CONCATENATE("R6C",'Mapa final'!$O$16),"")</f>
        <v/>
      </c>
      <c r="T51" s="78" t="str">
        <f>IF(AND('Mapa final'!$Y$17="Muy Baja",'Mapa final'!$AA$17="Menor"),CONCATENATE("R6C",'Mapa final'!$O$17),"")</f>
        <v/>
      </c>
      <c r="U51" s="79" t="str">
        <f>IF(AND('Mapa final'!$Y$18="Muy Baja",'Mapa final'!$AA$18="Menor"),CONCATENATE("R6C",'Mapa final'!$O$18),"")</f>
        <v/>
      </c>
      <c r="V51" s="68" t="str">
        <f>IF(AND('Mapa final'!$Y$13="Muy Baja",'Mapa final'!$AA$13="Moderado"),CONCATENATE("R6C",'Mapa final'!$O$13),"")</f>
        <v/>
      </c>
      <c r="W51" s="69" t="str">
        <f>IF(AND('Mapa final'!$Y$14="Muy Baja",'Mapa final'!$AA$14="Moderado"),CONCATENATE("R6C",'Mapa final'!$O$14),"")</f>
        <v/>
      </c>
      <c r="X51" s="69" t="str">
        <f>IF(AND('Mapa final'!$Y$15="Muy Baja",'Mapa final'!$AA$15="Moderado"),CONCATENATE("R6C",'Mapa final'!$O$15),"")</f>
        <v/>
      </c>
      <c r="Y51" s="69" t="str">
        <f>IF(AND('Mapa final'!$Y$16="Muy Baja",'Mapa final'!$AA$16="Moderado"),CONCATENATE("R6C",'Mapa final'!$O$16),"")</f>
        <v/>
      </c>
      <c r="Z51" s="69" t="str">
        <f>IF(AND('Mapa final'!$Y$17="Muy Baja",'Mapa final'!$AA$17="Moderado"),CONCATENATE("R6C",'Mapa final'!$O$17),"")</f>
        <v/>
      </c>
      <c r="AA51" s="70" t="str">
        <f>IF(AND('Mapa final'!$Y$18="Muy Baja",'Mapa final'!$AA$18="Moderado"),CONCATENATE("R6C",'Mapa final'!$O$18),"")</f>
        <v/>
      </c>
      <c r="AB51" s="52" t="str">
        <f>IF(AND('Mapa final'!$Y$13="Muy Baja",'Mapa final'!$AA$13="Mayor"),CONCATENATE("R6C",'Mapa final'!$O$13),"")</f>
        <v/>
      </c>
      <c r="AC51" s="53" t="str">
        <f>IF(AND('Mapa final'!$Y$14="Muy Baja",'Mapa final'!$AA$14="Mayor"),CONCATENATE("R6C",'Mapa final'!$O$14),"")</f>
        <v/>
      </c>
      <c r="AD51" s="58" t="str">
        <f>IF(AND('Mapa final'!$Y$15="Muy Baja",'Mapa final'!$AA$15="Mayor"),CONCATENATE("R6C",'Mapa final'!$O$15),"")</f>
        <v/>
      </c>
      <c r="AE51" s="58" t="str">
        <f>IF(AND('Mapa final'!$Y$16="Muy Baja",'Mapa final'!$AA$16="Mayor"),CONCATENATE("R6C",'Mapa final'!$O$16),"")</f>
        <v/>
      </c>
      <c r="AF51" s="58" t="str">
        <f>IF(AND('Mapa final'!$Y$17="Muy Baja",'Mapa final'!$AA$17="Mayor"),CONCATENATE("R6C",'Mapa final'!$O$17),"")</f>
        <v/>
      </c>
      <c r="AG51" s="54" t="str">
        <f>IF(AND('Mapa final'!$Y$18="Muy Baja",'Mapa final'!$AA$18="Mayor"),CONCATENATE("R6C",'Mapa final'!$O$18),"")</f>
        <v/>
      </c>
      <c r="AH51" s="55" t="str">
        <f>IF(AND('Mapa final'!$Y$13="Muy Baja",'Mapa final'!$AA$13="Catastrófico"),CONCATENATE("R6C",'Mapa final'!$O$13),"")</f>
        <v/>
      </c>
      <c r="AI51" s="56" t="str">
        <f>IF(AND('Mapa final'!$Y$14="Muy Baja",'Mapa final'!$AA$14="Catastrófico"),CONCATENATE("R6C",'Mapa final'!$O$14),"")</f>
        <v/>
      </c>
      <c r="AJ51" s="56" t="str">
        <f>IF(AND('Mapa final'!$Y$15="Muy Baja",'Mapa final'!$AA$15="Catastrófico"),CONCATENATE("R6C",'Mapa final'!$O$15),"")</f>
        <v/>
      </c>
      <c r="AK51" s="56" t="str">
        <f>IF(AND('Mapa final'!$Y$16="Muy Baja",'Mapa final'!$AA$16="Catastrófico"),CONCATENATE("R6C",'Mapa final'!$O$16),"")</f>
        <v/>
      </c>
      <c r="AL51" s="56" t="str">
        <f>IF(AND('Mapa final'!$Y$17="Muy Baja",'Mapa final'!$AA$17="Catastrófico"),CONCATENATE("R6C",'Mapa final'!$O$17),"")</f>
        <v/>
      </c>
      <c r="AM51" s="57" t="str">
        <f>IF(AND('Mapa final'!$Y$18="Muy Baja",'Mapa final'!$AA$18="Catastrófico"),CONCATENATE("R6C",'Mapa final'!$O$18),"")</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x14ac:dyDescent="0.25">
      <c r="A52" s="84"/>
      <c r="B52" s="295"/>
      <c r="C52" s="295"/>
      <c r="D52" s="296"/>
      <c r="E52" s="396"/>
      <c r="F52" s="397"/>
      <c r="G52" s="397"/>
      <c r="H52" s="397"/>
      <c r="I52" s="412"/>
      <c r="J52" s="77" t="str">
        <f>IF(AND('Mapa final'!$Y$19="Muy Baja",'Mapa final'!$AA$19="Leve"),CONCATENATE("R7C",'Mapa final'!$O$19),"")</f>
        <v/>
      </c>
      <c r="K52" s="78" t="str">
        <f>IF(AND('Mapa final'!$Y$20="Muy Baja",'Mapa final'!$AA$20="Leve"),CONCATENATE("R7C",'Mapa final'!$O$20),"")</f>
        <v/>
      </c>
      <c r="L52" s="78" t="str">
        <f>IF(AND('Mapa final'!$Y$21="Muy Baja",'Mapa final'!$AA$21="Leve"),CONCATENATE("R7C",'Mapa final'!$O$21),"")</f>
        <v/>
      </c>
      <c r="M52" s="78" t="str">
        <f>IF(AND('Mapa final'!$Y$22="Muy Baja",'Mapa final'!$AA$22="Leve"),CONCATENATE("R7C",'Mapa final'!$O$22),"")</f>
        <v/>
      </c>
      <c r="N52" s="78" t="str">
        <f>IF(AND('Mapa final'!$Y$23="Muy Baja",'Mapa final'!$AA$23="Leve"),CONCATENATE("R7C",'Mapa final'!$O$23),"")</f>
        <v/>
      </c>
      <c r="O52" s="79" t="str">
        <f>IF(AND('Mapa final'!$Y$24="Muy Baja",'Mapa final'!$AA$24="Leve"),CONCATENATE("R7C",'Mapa final'!$O$24),"")</f>
        <v/>
      </c>
      <c r="P52" s="77" t="str">
        <f>IF(AND('Mapa final'!$Y$19="Muy Baja",'Mapa final'!$AA$19="Menor"),CONCATENATE("R7C",'Mapa final'!$O$19),"")</f>
        <v/>
      </c>
      <c r="Q52" s="78" t="str">
        <f>IF(AND('Mapa final'!$Y$20="Muy Baja",'Mapa final'!$AA$20="Menor"),CONCATENATE("R7C",'Mapa final'!$O$20),"")</f>
        <v/>
      </c>
      <c r="R52" s="78" t="str">
        <f>IF(AND('Mapa final'!$Y$21="Muy Baja",'Mapa final'!$AA$21="Menor"),CONCATENATE("R7C",'Mapa final'!$O$21),"")</f>
        <v/>
      </c>
      <c r="S52" s="78" t="str">
        <f>IF(AND('Mapa final'!$Y$22="Muy Baja",'Mapa final'!$AA$22="Menor"),CONCATENATE("R7C",'Mapa final'!$O$22),"")</f>
        <v/>
      </c>
      <c r="T52" s="78" t="str">
        <f>IF(AND('Mapa final'!$Y$23="Muy Baja",'Mapa final'!$AA$23="Menor"),CONCATENATE("R7C",'Mapa final'!$O$23),"")</f>
        <v/>
      </c>
      <c r="U52" s="79" t="str">
        <f>IF(AND('Mapa final'!$Y$24="Muy Baja",'Mapa final'!$AA$24="Menor"),CONCATENATE("R7C",'Mapa final'!$O$24),"")</f>
        <v/>
      </c>
      <c r="V52" s="68" t="str">
        <f>IF(AND('Mapa final'!$Y$19="Muy Baja",'Mapa final'!$AA$19="Moderado"),CONCATENATE("R7C",'Mapa final'!$O$19),"")</f>
        <v/>
      </c>
      <c r="W52" s="69" t="str">
        <f>IF(AND('Mapa final'!$Y$20="Muy Baja",'Mapa final'!$AA$20="Moderado"),CONCATENATE("R7C",'Mapa final'!$O$20),"")</f>
        <v/>
      </c>
      <c r="X52" s="69" t="str">
        <f>IF(AND('Mapa final'!$Y$21="Muy Baja",'Mapa final'!$AA$21="Moderado"),CONCATENATE("R7C",'Mapa final'!$O$21),"")</f>
        <v/>
      </c>
      <c r="Y52" s="69" t="str">
        <f>IF(AND('Mapa final'!$Y$22="Muy Baja",'Mapa final'!$AA$22="Moderado"),CONCATENATE("R7C",'Mapa final'!$O$22),"")</f>
        <v/>
      </c>
      <c r="Z52" s="69" t="str">
        <f>IF(AND('Mapa final'!$Y$23="Muy Baja",'Mapa final'!$AA$23="Moderado"),CONCATENATE("R7C",'Mapa final'!$O$23),"")</f>
        <v/>
      </c>
      <c r="AA52" s="70" t="str">
        <f>IF(AND('Mapa final'!$Y$24="Muy Baja",'Mapa final'!$AA$24="Moderado"),CONCATENATE("R7C",'Mapa final'!$O$24),"")</f>
        <v/>
      </c>
      <c r="AB52" s="52" t="str">
        <f>IF(AND('Mapa final'!$Y$19="Muy Baja",'Mapa final'!$AA$19="Mayor"),CONCATENATE("R7C",'Mapa final'!$O$19),"")</f>
        <v/>
      </c>
      <c r="AC52" s="53" t="str">
        <f>IF(AND('Mapa final'!$Y$20="Muy Baja",'Mapa final'!$AA$20="Mayor"),CONCATENATE("R7C",'Mapa final'!$O$20),"")</f>
        <v/>
      </c>
      <c r="AD52" s="58" t="str">
        <f>IF(AND('Mapa final'!$Y$21="Muy Baja",'Mapa final'!$AA$21="Mayor"),CONCATENATE("R7C",'Mapa final'!$O$21),"")</f>
        <v/>
      </c>
      <c r="AE52" s="58" t="str">
        <f>IF(AND('Mapa final'!$Y$22="Muy Baja",'Mapa final'!$AA$22="Mayor"),CONCATENATE("R7C",'Mapa final'!$O$22),"")</f>
        <v/>
      </c>
      <c r="AF52" s="58" t="str">
        <f>IF(AND('Mapa final'!$Y$23="Muy Baja",'Mapa final'!$AA$23="Mayor"),CONCATENATE("R7C",'Mapa final'!$O$23),"")</f>
        <v/>
      </c>
      <c r="AG52" s="54" t="str">
        <f>IF(AND('Mapa final'!$Y$24="Muy Baja",'Mapa final'!$AA$24="Mayor"),CONCATENATE("R7C",'Mapa final'!$O$24),"")</f>
        <v/>
      </c>
      <c r="AH52" s="55" t="str">
        <f>IF(AND('Mapa final'!$Y$19="Muy Baja",'Mapa final'!$AA$19="Catastrófico"),CONCATENATE("R7C",'Mapa final'!$O$19),"")</f>
        <v/>
      </c>
      <c r="AI52" s="56" t="str">
        <f>IF(AND('Mapa final'!$Y$20="Muy Baja",'Mapa final'!$AA$20="Catastrófico"),CONCATENATE("R7C",'Mapa final'!$O$20),"")</f>
        <v/>
      </c>
      <c r="AJ52" s="56" t="str">
        <f>IF(AND('Mapa final'!$Y$21="Muy Baja",'Mapa final'!$AA$21="Catastrófico"),CONCATENATE("R7C",'Mapa final'!$O$21),"")</f>
        <v/>
      </c>
      <c r="AK52" s="56" t="str">
        <f>IF(AND('Mapa final'!$Y$22="Muy Baja",'Mapa final'!$AA$22="Catastrófico"),CONCATENATE("R7C",'Mapa final'!$O$22),"")</f>
        <v/>
      </c>
      <c r="AL52" s="56" t="str">
        <f>IF(AND('Mapa final'!$Y$23="Muy Baja",'Mapa final'!$AA$23="Catastrófico"),CONCATENATE("R7C",'Mapa final'!$O$23),"")</f>
        <v/>
      </c>
      <c r="AM52" s="57" t="str">
        <f>IF(AND('Mapa final'!$Y$24="Muy Baja",'Mapa final'!$AA$24="Catastrófico"),CONCATENATE("R7C",'Mapa final'!$O$24),"")</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295"/>
      <c r="C53" s="295"/>
      <c r="D53" s="296"/>
      <c r="E53" s="396"/>
      <c r="F53" s="397"/>
      <c r="G53" s="397"/>
      <c r="H53" s="397"/>
      <c r="I53" s="412"/>
      <c r="J53" s="77" t="str">
        <f>IF(AND('Mapa final'!$Y$25="Muy Baja",'Mapa final'!$AA$25="Leve"),CONCATENATE("R8C",'Mapa final'!$O$25),"")</f>
        <v/>
      </c>
      <c r="K53" s="78" t="str">
        <f>IF(AND('Mapa final'!$Y$26="Muy Baja",'Mapa final'!$AA$26="Leve"),CONCATENATE("R8C",'Mapa final'!$O$26),"")</f>
        <v/>
      </c>
      <c r="L53" s="78" t="str">
        <f>IF(AND('Mapa final'!$Y$27="Muy Baja",'Mapa final'!$AA$27="Leve"),CONCATENATE("R8C",'Mapa final'!$O$27),"")</f>
        <v/>
      </c>
      <c r="M53" s="78" t="str">
        <f>IF(AND('Mapa final'!$Y$28="Muy Baja",'Mapa final'!$AA$28="Leve"),CONCATENATE("R8C",'Mapa final'!$O$28),"")</f>
        <v/>
      </c>
      <c r="N53" s="78" t="str">
        <f>IF(AND('Mapa final'!$Y$29="Muy Baja",'Mapa final'!$AA$29="Leve"),CONCATENATE("R8C",'Mapa final'!$O$29),"")</f>
        <v/>
      </c>
      <c r="O53" s="79" t="str">
        <f>IF(AND('Mapa final'!$Y$30="Muy Baja",'Mapa final'!$AA$30="Leve"),CONCATENATE("R8C",'Mapa final'!$O$30),"")</f>
        <v/>
      </c>
      <c r="P53" s="77" t="str">
        <f>IF(AND('Mapa final'!$Y$25="Muy Baja",'Mapa final'!$AA$25="Menor"),CONCATENATE("R8C",'Mapa final'!$O$25),"")</f>
        <v/>
      </c>
      <c r="Q53" s="78" t="str">
        <f>IF(AND('Mapa final'!$Y$26="Muy Baja",'Mapa final'!$AA$26="Menor"),CONCATENATE("R8C",'Mapa final'!$O$26),"")</f>
        <v/>
      </c>
      <c r="R53" s="78" t="str">
        <f>IF(AND('Mapa final'!$Y$27="Muy Baja",'Mapa final'!$AA$27="Menor"),CONCATENATE("R8C",'Mapa final'!$O$27),"")</f>
        <v/>
      </c>
      <c r="S53" s="78" t="str">
        <f>IF(AND('Mapa final'!$Y$28="Muy Baja",'Mapa final'!$AA$28="Menor"),CONCATENATE("R8C",'Mapa final'!$O$28),"")</f>
        <v/>
      </c>
      <c r="T53" s="78" t="str">
        <f>IF(AND('Mapa final'!$Y$29="Muy Baja",'Mapa final'!$AA$29="Menor"),CONCATENATE("R8C",'Mapa final'!$O$29),"")</f>
        <v/>
      </c>
      <c r="U53" s="79" t="str">
        <f>IF(AND('Mapa final'!$Y$30="Muy Baja",'Mapa final'!$AA$30="Menor"),CONCATENATE("R8C",'Mapa final'!$O$30),"")</f>
        <v/>
      </c>
      <c r="V53" s="68" t="str">
        <f>IF(AND('Mapa final'!$Y$25="Muy Baja",'Mapa final'!$AA$25="Moderado"),CONCATENATE("R8C",'Mapa final'!$O$25),"")</f>
        <v/>
      </c>
      <c r="W53" s="69" t="str">
        <f>IF(AND('Mapa final'!$Y$26="Muy Baja",'Mapa final'!$AA$26="Moderado"),CONCATENATE("R8C",'Mapa final'!$O$26),"")</f>
        <v/>
      </c>
      <c r="X53" s="69" t="str">
        <f>IF(AND('Mapa final'!$Y$27="Muy Baja",'Mapa final'!$AA$27="Moderado"),CONCATENATE("R8C",'Mapa final'!$O$27),"")</f>
        <v/>
      </c>
      <c r="Y53" s="69" t="str">
        <f>IF(AND('Mapa final'!$Y$28="Muy Baja",'Mapa final'!$AA$28="Moderado"),CONCATENATE("R8C",'Mapa final'!$O$28),"")</f>
        <v/>
      </c>
      <c r="Z53" s="69" t="str">
        <f>IF(AND('Mapa final'!$Y$29="Muy Baja",'Mapa final'!$AA$29="Moderado"),CONCATENATE("R8C",'Mapa final'!$O$29),"")</f>
        <v/>
      </c>
      <c r="AA53" s="70" t="str">
        <f>IF(AND('Mapa final'!$Y$30="Muy Baja",'Mapa final'!$AA$30="Moderado"),CONCATENATE("R8C",'Mapa final'!$O$30),"")</f>
        <v/>
      </c>
      <c r="AB53" s="52" t="str">
        <f>IF(AND('Mapa final'!$Y$25="Muy Baja",'Mapa final'!$AA$25="Mayor"),CONCATENATE("R8C",'Mapa final'!$O$25),"")</f>
        <v/>
      </c>
      <c r="AC53" s="53" t="str">
        <f>IF(AND('Mapa final'!$Y$26="Muy Baja",'Mapa final'!$AA$26="Mayor"),CONCATENATE("R8C",'Mapa final'!$O$26),"")</f>
        <v/>
      </c>
      <c r="AD53" s="58" t="str">
        <f>IF(AND('Mapa final'!$Y$27="Muy Baja",'Mapa final'!$AA$27="Mayor"),CONCATENATE("R8C",'Mapa final'!$O$27),"")</f>
        <v/>
      </c>
      <c r="AE53" s="58" t="str">
        <f>IF(AND('Mapa final'!$Y$28="Muy Baja",'Mapa final'!$AA$28="Mayor"),CONCATENATE("R8C",'Mapa final'!$O$28),"")</f>
        <v/>
      </c>
      <c r="AF53" s="58" t="str">
        <f>IF(AND('Mapa final'!$Y$29="Muy Baja",'Mapa final'!$AA$29="Mayor"),CONCATENATE("R8C",'Mapa final'!$O$29),"")</f>
        <v/>
      </c>
      <c r="AG53" s="54" t="str">
        <f>IF(AND('Mapa final'!$Y$30="Muy Baja",'Mapa final'!$AA$30="Mayor"),CONCATENATE("R8C",'Mapa final'!$O$30),"")</f>
        <v/>
      </c>
      <c r="AH53" s="55" t="str">
        <f>IF(AND('Mapa final'!$Y$25="Muy Baja",'Mapa final'!$AA$25="Catastrófico"),CONCATENATE("R8C",'Mapa final'!$O$25),"")</f>
        <v/>
      </c>
      <c r="AI53" s="56" t="str">
        <f>IF(AND('Mapa final'!$Y$26="Muy Baja",'Mapa final'!$AA$26="Catastrófico"),CONCATENATE("R8C",'Mapa final'!$O$26),"")</f>
        <v/>
      </c>
      <c r="AJ53" s="56" t="str">
        <f>IF(AND('Mapa final'!$Y$27="Muy Baja",'Mapa final'!$AA$27="Catastrófico"),CONCATENATE("R8C",'Mapa final'!$O$27),"")</f>
        <v/>
      </c>
      <c r="AK53" s="56" t="str">
        <f>IF(AND('Mapa final'!$Y$28="Muy Baja",'Mapa final'!$AA$28="Catastrófico"),CONCATENATE("R8C",'Mapa final'!$O$28),"")</f>
        <v/>
      </c>
      <c r="AL53" s="56" t="str">
        <f>IF(AND('Mapa final'!$Y$29="Muy Baja",'Mapa final'!$AA$29="Catastrófico"),CONCATENATE("R8C",'Mapa final'!$O$29),"")</f>
        <v/>
      </c>
      <c r="AM53" s="57" t="str">
        <f>IF(AND('Mapa final'!$Y$30="Muy Baja",'Mapa final'!$AA$30="Catastrófico"),CONCATENATE("R8C",'Mapa final'!$O$30),"")</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295"/>
      <c r="C54" s="295"/>
      <c r="D54" s="296"/>
      <c r="E54" s="396"/>
      <c r="F54" s="397"/>
      <c r="G54" s="397"/>
      <c r="H54" s="397"/>
      <c r="I54" s="412"/>
      <c r="J54" s="77" t="str">
        <f>IF(AND('Mapa final'!$Y$31="Muy Baja",'Mapa final'!$AA$31="Leve"),CONCATENATE("R9C",'Mapa final'!$O$31),"")</f>
        <v/>
      </c>
      <c r="K54" s="78" t="str">
        <f>IF(AND('Mapa final'!$Y$32="Muy Baja",'Mapa final'!$AA$32="Leve"),CONCATENATE("R9C",'Mapa final'!$O$32),"")</f>
        <v/>
      </c>
      <c r="L54" s="78" t="str">
        <f>IF(AND('Mapa final'!$Y$33="Muy Baja",'Mapa final'!$AA$33="Leve"),CONCATENATE("R9C",'Mapa final'!$O$33),"")</f>
        <v/>
      </c>
      <c r="M54" s="78" t="str">
        <f>IF(AND('Mapa final'!$Y$34="Muy Baja",'Mapa final'!$AA$34="Leve"),CONCATENATE("R9C",'Mapa final'!$O$34),"")</f>
        <v/>
      </c>
      <c r="N54" s="78" t="str">
        <f>IF(AND('Mapa final'!$Y$35="Muy Baja",'Mapa final'!$AA$35="Leve"),CONCATENATE("R9C",'Mapa final'!$O$35),"")</f>
        <v/>
      </c>
      <c r="O54" s="79" t="str">
        <f>IF(AND('Mapa final'!$Y$36="Muy Baja",'Mapa final'!$AA$36="Leve"),CONCATENATE("R9C",'Mapa final'!$O$36),"")</f>
        <v/>
      </c>
      <c r="P54" s="77" t="str">
        <f>IF(AND('Mapa final'!$Y$31="Muy Baja",'Mapa final'!$AA$31="Menor"),CONCATENATE("R9C",'Mapa final'!$O$31),"")</f>
        <v/>
      </c>
      <c r="Q54" s="78" t="str">
        <f>IF(AND('Mapa final'!$Y$32="Muy Baja",'Mapa final'!$AA$32="Menor"),CONCATENATE("R9C",'Mapa final'!$O$32),"")</f>
        <v/>
      </c>
      <c r="R54" s="78" t="str">
        <f>IF(AND('Mapa final'!$Y$33="Muy Baja",'Mapa final'!$AA$33="Menor"),CONCATENATE("R9C",'Mapa final'!$O$33),"")</f>
        <v/>
      </c>
      <c r="S54" s="78" t="str">
        <f>IF(AND('Mapa final'!$Y$34="Muy Baja",'Mapa final'!$AA$34="Menor"),CONCATENATE("R9C",'Mapa final'!$O$34),"")</f>
        <v/>
      </c>
      <c r="T54" s="78" t="str">
        <f>IF(AND('Mapa final'!$Y$35="Muy Baja",'Mapa final'!$AA$35="Menor"),CONCATENATE("R9C",'Mapa final'!$O$35),"")</f>
        <v/>
      </c>
      <c r="U54" s="79" t="str">
        <f>IF(AND('Mapa final'!$Y$36="Muy Baja",'Mapa final'!$AA$36="Menor"),CONCATENATE("R9C",'Mapa final'!$O$36),"")</f>
        <v/>
      </c>
      <c r="V54" s="68" t="str">
        <f>IF(AND('Mapa final'!$Y$31="Muy Baja",'Mapa final'!$AA$31="Moderado"),CONCATENATE("R9C",'Mapa final'!$O$31),"")</f>
        <v/>
      </c>
      <c r="W54" s="69" t="str">
        <f>IF(AND('Mapa final'!$Y$32="Muy Baja",'Mapa final'!$AA$32="Moderado"),CONCATENATE("R9C",'Mapa final'!$O$32),"")</f>
        <v/>
      </c>
      <c r="X54" s="69" t="str">
        <f>IF(AND('Mapa final'!$Y$33="Muy Baja",'Mapa final'!$AA$33="Moderado"),CONCATENATE("R9C",'Mapa final'!$O$33),"")</f>
        <v/>
      </c>
      <c r="Y54" s="69" t="str">
        <f>IF(AND('Mapa final'!$Y$34="Muy Baja",'Mapa final'!$AA$34="Moderado"),CONCATENATE("R9C",'Mapa final'!$O$34),"")</f>
        <v/>
      </c>
      <c r="Z54" s="69" t="str">
        <f>IF(AND('Mapa final'!$Y$35="Muy Baja",'Mapa final'!$AA$35="Moderado"),CONCATENATE("R9C",'Mapa final'!$O$35),"")</f>
        <v/>
      </c>
      <c r="AA54" s="70" t="str">
        <f>IF(AND('Mapa final'!$Y$36="Muy Baja",'Mapa final'!$AA$36="Moderado"),CONCATENATE("R9C",'Mapa final'!$O$36),"")</f>
        <v/>
      </c>
      <c r="AB54" s="52" t="str">
        <f>IF(AND('Mapa final'!$Y$31="Muy Baja",'Mapa final'!$AA$31="Mayor"),CONCATENATE("R9C",'Mapa final'!$O$31),"")</f>
        <v/>
      </c>
      <c r="AC54" s="53" t="str">
        <f>IF(AND('Mapa final'!$Y$32="Muy Baja",'Mapa final'!$AA$32="Mayor"),CONCATENATE("R9C",'Mapa final'!$O$32),"")</f>
        <v/>
      </c>
      <c r="AD54" s="58" t="str">
        <f>IF(AND('Mapa final'!$Y$33="Muy Baja",'Mapa final'!$AA$33="Mayor"),CONCATENATE("R9C",'Mapa final'!$O$33),"")</f>
        <v/>
      </c>
      <c r="AE54" s="58" t="str">
        <f>IF(AND('Mapa final'!$Y$34="Muy Baja",'Mapa final'!$AA$34="Mayor"),CONCATENATE("R9C",'Mapa final'!$O$34),"")</f>
        <v/>
      </c>
      <c r="AF54" s="58" t="str">
        <f>IF(AND('Mapa final'!$Y$35="Muy Baja",'Mapa final'!$AA$35="Mayor"),CONCATENATE("R9C",'Mapa final'!$O$35),"")</f>
        <v/>
      </c>
      <c r="AG54" s="54" t="str">
        <f>IF(AND('Mapa final'!$Y$36="Muy Baja",'Mapa final'!$AA$36="Mayor"),CONCATENATE("R9C",'Mapa final'!$O$36),"")</f>
        <v/>
      </c>
      <c r="AH54" s="55" t="str">
        <f>IF(AND('Mapa final'!$Y$31="Muy Baja",'Mapa final'!$AA$31="Catastrófico"),CONCATENATE("R9C",'Mapa final'!$O$31),"")</f>
        <v/>
      </c>
      <c r="AI54" s="56" t="str">
        <f>IF(AND('Mapa final'!$Y$32="Muy Baja",'Mapa final'!$AA$32="Catastrófico"),CONCATENATE("R9C",'Mapa final'!$O$32),"")</f>
        <v/>
      </c>
      <c r="AJ54" s="56" t="str">
        <f>IF(AND('Mapa final'!$Y$33="Muy Baja",'Mapa final'!$AA$33="Catastrófico"),CONCATENATE("R9C",'Mapa final'!$O$33),"")</f>
        <v/>
      </c>
      <c r="AK54" s="56" t="str">
        <f>IF(AND('Mapa final'!$Y$34="Muy Baja",'Mapa final'!$AA$34="Catastrófico"),CONCATENATE("R9C",'Mapa final'!$O$34),"")</f>
        <v/>
      </c>
      <c r="AL54" s="56" t="str">
        <f>IF(AND('Mapa final'!$Y$35="Muy Baja",'Mapa final'!$AA$35="Catastrófico"),CONCATENATE("R9C",'Mapa final'!$O$35),"")</f>
        <v/>
      </c>
      <c r="AM54" s="57" t="str">
        <f>IF(AND('Mapa final'!$Y$36="Muy Baja",'Mapa final'!$AA$36="Catastrófico"),CONCATENATE("R9C",'Mapa final'!$O$36),"")</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x14ac:dyDescent="0.3">
      <c r="A55" s="84"/>
      <c r="B55" s="295"/>
      <c r="C55" s="295"/>
      <c r="D55" s="296"/>
      <c r="E55" s="398"/>
      <c r="F55" s="399"/>
      <c r="G55" s="399"/>
      <c r="H55" s="399"/>
      <c r="I55" s="413"/>
      <c r="J55" s="80" t="str">
        <f>IF(AND('Mapa final'!$Y$37="Muy Baja",'Mapa final'!$AA$37="Leve"),CONCATENATE("R10C",'Mapa final'!$O$37),"")</f>
        <v/>
      </c>
      <c r="K55" s="81" t="str">
        <f>IF(AND('Mapa final'!$Y$38="Muy Baja",'Mapa final'!$AA$38="Leve"),CONCATENATE("R10C",'Mapa final'!$O$38),"")</f>
        <v/>
      </c>
      <c r="L55" s="81" t="str">
        <f>IF(AND('Mapa final'!$Y$39="Muy Baja",'Mapa final'!$AA$39="Leve"),CONCATENATE("R10C",'Mapa final'!$O$39),"")</f>
        <v/>
      </c>
      <c r="M55" s="81" t="str">
        <f>IF(AND('Mapa final'!$Y$40="Muy Baja",'Mapa final'!$AA$40="Leve"),CONCATENATE("R10C",'Mapa final'!$O$40),"")</f>
        <v/>
      </c>
      <c r="N55" s="81" t="str">
        <f>IF(AND('Mapa final'!$Y$41="Muy Baja",'Mapa final'!$AA$41="Leve"),CONCATENATE("R10C",'Mapa final'!$O$41),"")</f>
        <v/>
      </c>
      <c r="O55" s="82" t="str">
        <f>IF(AND('Mapa final'!$Y$42="Muy Baja",'Mapa final'!$AA$42="Leve"),CONCATENATE("R10C",'Mapa final'!$O$42),"")</f>
        <v/>
      </c>
      <c r="P55" s="80" t="str">
        <f>IF(AND('Mapa final'!$Y$37="Muy Baja",'Mapa final'!$AA$37="Menor"),CONCATENATE("R10C",'Mapa final'!$O$37),"")</f>
        <v/>
      </c>
      <c r="Q55" s="81" t="str">
        <f>IF(AND('Mapa final'!$Y$38="Muy Baja",'Mapa final'!$AA$38="Menor"),CONCATENATE("R10C",'Mapa final'!$O$38),"")</f>
        <v/>
      </c>
      <c r="R55" s="81" t="str">
        <f>IF(AND('Mapa final'!$Y$39="Muy Baja",'Mapa final'!$AA$39="Menor"),CONCATENATE("R10C",'Mapa final'!$O$39),"")</f>
        <v/>
      </c>
      <c r="S55" s="81" t="str">
        <f>IF(AND('Mapa final'!$Y$40="Muy Baja",'Mapa final'!$AA$40="Menor"),CONCATENATE("R10C",'Mapa final'!$O$40),"")</f>
        <v/>
      </c>
      <c r="T55" s="81" t="str">
        <f>IF(AND('Mapa final'!$Y$41="Muy Baja",'Mapa final'!$AA$41="Menor"),CONCATENATE("R10C",'Mapa final'!$O$41),"")</f>
        <v/>
      </c>
      <c r="U55" s="82" t="str">
        <f>IF(AND('Mapa final'!$Y$42="Muy Baja",'Mapa final'!$AA$42="Menor"),CONCATENATE("R10C",'Mapa final'!$O$42),"")</f>
        <v/>
      </c>
      <c r="V55" s="71" t="str">
        <f>IF(AND('Mapa final'!$Y$37="Muy Baja",'Mapa final'!$AA$37="Moderado"),CONCATENATE("R10C",'Mapa final'!$O$37),"")</f>
        <v/>
      </c>
      <c r="W55" s="72" t="str">
        <f>IF(AND('Mapa final'!$Y$38="Muy Baja",'Mapa final'!$AA$38="Moderado"),CONCATENATE("R10C",'Mapa final'!$O$38),"")</f>
        <v/>
      </c>
      <c r="X55" s="72" t="str">
        <f>IF(AND('Mapa final'!$Y$39="Muy Baja",'Mapa final'!$AA$39="Moderado"),CONCATENATE("R10C",'Mapa final'!$O$39),"")</f>
        <v/>
      </c>
      <c r="Y55" s="72" t="str">
        <f>IF(AND('Mapa final'!$Y$40="Muy Baja",'Mapa final'!$AA$40="Moderado"),CONCATENATE("R10C",'Mapa final'!$O$40),"")</f>
        <v/>
      </c>
      <c r="Z55" s="72" t="str">
        <f>IF(AND('Mapa final'!$Y$41="Muy Baja",'Mapa final'!$AA$41="Moderado"),CONCATENATE("R10C",'Mapa final'!$O$41),"")</f>
        <v/>
      </c>
      <c r="AA55" s="73" t="str">
        <f>IF(AND('Mapa final'!$Y$42="Muy Baja",'Mapa final'!$AA$42="Moderado"),CONCATENATE("R10C",'Mapa final'!$O$42),"")</f>
        <v/>
      </c>
      <c r="AB55" s="59" t="str">
        <f>IF(AND('Mapa final'!$Y$37="Muy Baja",'Mapa final'!$AA$37="Mayor"),CONCATENATE("R10C",'Mapa final'!$O$37),"")</f>
        <v/>
      </c>
      <c r="AC55" s="60" t="str">
        <f>IF(AND('Mapa final'!$Y$38="Muy Baja",'Mapa final'!$AA$38="Mayor"),CONCATENATE("R10C",'Mapa final'!$O$38),"")</f>
        <v/>
      </c>
      <c r="AD55" s="60" t="str">
        <f>IF(AND('Mapa final'!$Y$39="Muy Baja",'Mapa final'!$AA$39="Mayor"),CONCATENATE("R10C",'Mapa final'!$O$39),"")</f>
        <v/>
      </c>
      <c r="AE55" s="60" t="str">
        <f>IF(AND('Mapa final'!$Y$40="Muy Baja",'Mapa final'!$AA$40="Mayor"),CONCATENATE("R10C",'Mapa final'!$O$40),"")</f>
        <v/>
      </c>
      <c r="AF55" s="60" t="str">
        <f>IF(AND('Mapa final'!$Y$41="Muy Baja",'Mapa final'!$AA$41="Mayor"),CONCATENATE("R10C",'Mapa final'!$O$41),"")</f>
        <v/>
      </c>
      <c r="AG55" s="61" t="str">
        <f>IF(AND('Mapa final'!$Y$42="Muy Baja",'Mapa final'!$AA$42="Mayor"),CONCATENATE("R10C",'Mapa final'!$O$42),"")</f>
        <v/>
      </c>
      <c r="AH55" s="62" t="str">
        <f>IF(AND('Mapa final'!$Y$37="Muy Baja",'Mapa final'!$AA$37="Catastrófico"),CONCATENATE("R10C",'Mapa final'!$O$37),"")</f>
        <v/>
      </c>
      <c r="AI55" s="63" t="str">
        <f>IF(AND('Mapa final'!$Y$38="Muy Baja",'Mapa final'!$AA$38="Catastrófico"),CONCATENATE("R10C",'Mapa final'!$O$38),"")</f>
        <v/>
      </c>
      <c r="AJ55" s="63" t="str">
        <f>IF(AND('Mapa final'!$Y$39="Muy Baja",'Mapa final'!$AA$39="Catastrófico"),CONCATENATE("R10C",'Mapa final'!$O$39),"")</f>
        <v/>
      </c>
      <c r="AK55" s="63" t="str">
        <f>IF(AND('Mapa final'!$Y$40="Muy Baja",'Mapa final'!$AA$40="Catastrófico"),CONCATENATE("R10C",'Mapa final'!$O$40),"")</f>
        <v/>
      </c>
      <c r="AL55" s="63" t="str">
        <f>IF(AND('Mapa final'!$Y$41="Muy Baja",'Mapa final'!$AA$41="Catastrófico"),CONCATENATE("R10C",'Mapa final'!$O$41),"")</f>
        <v/>
      </c>
      <c r="AM55" s="64" t="str">
        <f>IF(AND('Mapa final'!$Y$42="Muy Baja",'Mapa final'!$AA$42="Catastrófico"),CONCATENATE("R10C",'Mapa final'!$O$42),"")</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392" t="s">
        <v>112</v>
      </c>
      <c r="K56" s="393"/>
      <c r="L56" s="393"/>
      <c r="M56" s="393"/>
      <c r="N56" s="393"/>
      <c r="O56" s="411"/>
      <c r="P56" s="392" t="s">
        <v>111</v>
      </c>
      <c r="Q56" s="393"/>
      <c r="R56" s="393"/>
      <c r="S56" s="393"/>
      <c r="T56" s="393"/>
      <c r="U56" s="411"/>
      <c r="V56" s="392" t="s">
        <v>110</v>
      </c>
      <c r="W56" s="393"/>
      <c r="X56" s="393"/>
      <c r="Y56" s="393"/>
      <c r="Z56" s="393"/>
      <c r="AA56" s="411"/>
      <c r="AB56" s="392" t="s">
        <v>109</v>
      </c>
      <c r="AC56" s="432"/>
      <c r="AD56" s="393"/>
      <c r="AE56" s="393"/>
      <c r="AF56" s="393"/>
      <c r="AG56" s="411"/>
      <c r="AH56" s="392" t="s">
        <v>108</v>
      </c>
      <c r="AI56" s="393"/>
      <c r="AJ56" s="393"/>
      <c r="AK56" s="393"/>
      <c r="AL56" s="393"/>
      <c r="AM56" s="411"/>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396"/>
      <c r="K57" s="397"/>
      <c r="L57" s="397"/>
      <c r="M57" s="397"/>
      <c r="N57" s="397"/>
      <c r="O57" s="412"/>
      <c r="P57" s="396"/>
      <c r="Q57" s="397"/>
      <c r="R57" s="397"/>
      <c r="S57" s="397"/>
      <c r="T57" s="397"/>
      <c r="U57" s="412"/>
      <c r="V57" s="396"/>
      <c r="W57" s="397"/>
      <c r="X57" s="397"/>
      <c r="Y57" s="397"/>
      <c r="Z57" s="397"/>
      <c r="AA57" s="412"/>
      <c r="AB57" s="396"/>
      <c r="AC57" s="397"/>
      <c r="AD57" s="397"/>
      <c r="AE57" s="397"/>
      <c r="AF57" s="397"/>
      <c r="AG57" s="412"/>
      <c r="AH57" s="396"/>
      <c r="AI57" s="397"/>
      <c r="AJ57" s="397"/>
      <c r="AK57" s="397"/>
      <c r="AL57" s="397"/>
      <c r="AM57" s="412"/>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396"/>
      <c r="K58" s="397"/>
      <c r="L58" s="397"/>
      <c r="M58" s="397"/>
      <c r="N58" s="397"/>
      <c r="O58" s="412"/>
      <c r="P58" s="396"/>
      <c r="Q58" s="397"/>
      <c r="R58" s="397"/>
      <c r="S58" s="397"/>
      <c r="T58" s="397"/>
      <c r="U58" s="412"/>
      <c r="V58" s="396"/>
      <c r="W58" s="397"/>
      <c r="X58" s="397"/>
      <c r="Y58" s="397"/>
      <c r="Z58" s="397"/>
      <c r="AA58" s="412"/>
      <c r="AB58" s="396"/>
      <c r="AC58" s="397"/>
      <c r="AD58" s="397"/>
      <c r="AE58" s="397"/>
      <c r="AF58" s="397"/>
      <c r="AG58" s="412"/>
      <c r="AH58" s="396"/>
      <c r="AI58" s="397"/>
      <c r="AJ58" s="397"/>
      <c r="AK58" s="397"/>
      <c r="AL58" s="397"/>
      <c r="AM58" s="412"/>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396"/>
      <c r="K59" s="397"/>
      <c r="L59" s="397"/>
      <c r="M59" s="397"/>
      <c r="N59" s="397"/>
      <c r="O59" s="412"/>
      <c r="P59" s="396"/>
      <c r="Q59" s="397"/>
      <c r="R59" s="397"/>
      <c r="S59" s="397"/>
      <c r="T59" s="397"/>
      <c r="U59" s="412"/>
      <c r="V59" s="396"/>
      <c r="W59" s="397"/>
      <c r="X59" s="397"/>
      <c r="Y59" s="397"/>
      <c r="Z59" s="397"/>
      <c r="AA59" s="412"/>
      <c r="AB59" s="396"/>
      <c r="AC59" s="397"/>
      <c r="AD59" s="397"/>
      <c r="AE59" s="397"/>
      <c r="AF59" s="397"/>
      <c r="AG59" s="412"/>
      <c r="AH59" s="396"/>
      <c r="AI59" s="397"/>
      <c r="AJ59" s="397"/>
      <c r="AK59" s="397"/>
      <c r="AL59" s="397"/>
      <c r="AM59" s="412"/>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396"/>
      <c r="K60" s="397"/>
      <c r="L60" s="397"/>
      <c r="M60" s="397"/>
      <c r="N60" s="397"/>
      <c r="O60" s="412"/>
      <c r="P60" s="396"/>
      <c r="Q60" s="397"/>
      <c r="R60" s="397"/>
      <c r="S60" s="397"/>
      <c r="T60" s="397"/>
      <c r="U60" s="412"/>
      <c r="V60" s="396"/>
      <c r="W60" s="397"/>
      <c r="X60" s="397"/>
      <c r="Y60" s="397"/>
      <c r="Z60" s="397"/>
      <c r="AA60" s="412"/>
      <c r="AB60" s="396"/>
      <c r="AC60" s="397"/>
      <c r="AD60" s="397"/>
      <c r="AE60" s="397"/>
      <c r="AF60" s="397"/>
      <c r="AG60" s="412"/>
      <c r="AH60" s="396"/>
      <c r="AI60" s="397"/>
      <c r="AJ60" s="397"/>
      <c r="AK60" s="397"/>
      <c r="AL60" s="397"/>
      <c r="AM60" s="412"/>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75" thickBot="1" x14ac:dyDescent="0.3">
      <c r="A61" s="84"/>
      <c r="B61" s="84"/>
      <c r="C61" s="84"/>
      <c r="D61" s="84"/>
      <c r="E61" s="84"/>
      <c r="F61" s="84"/>
      <c r="G61" s="84"/>
      <c r="H61" s="84"/>
      <c r="I61" s="84"/>
      <c r="J61" s="398"/>
      <c r="K61" s="399"/>
      <c r="L61" s="399"/>
      <c r="M61" s="399"/>
      <c r="N61" s="399"/>
      <c r="O61" s="413"/>
      <c r="P61" s="398"/>
      <c r="Q61" s="399"/>
      <c r="R61" s="399"/>
      <c r="S61" s="399"/>
      <c r="T61" s="399"/>
      <c r="U61" s="413"/>
      <c r="V61" s="398"/>
      <c r="W61" s="399"/>
      <c r="X61" s="399"/>
      <c r="Y61" s="399"/>
      <c r="Z61" s="399"/>
      <c r="AA61" s="413"/>
      <c r="AB61" s="398"/>
      <c r="AC61" s="399"/>
      <c r="AD61" s="399"/>
      <c r="AE61" s="399"/>
      <c r="AF61" s="399"/>
      <c r="AG61" s="413"/>
      <c r="AH61" s="398"/>
      <c r="AI61" s="399"/>
      <c r="AJ61" s="399"/>
      <c r="AK61" s="399"/>
      <c r="AL61" s="399"/>
      <c r="AM61" s="413"/>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x14ac:dyDescent="0.25">
      <c r="A63" s="84"/>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4"/>
      <c r="AV63" s="84"/>
      <c r="AW63" s="84"/>
      <c r="AX63" s="84"/>
      <c r="AY63" s="84"/>
      <c r="AZ63" s="84"/>
      <c r="BA63" s="84"/>
      <c r="BB63" s="84"/>
      <c r="BC63" s="84"/>
      <c r="BD63" s="84"/>
      <c r="BE63" s="84"/>
      <c r="BF63" s="84"/>
      <c r="BG63" s="84"/>
      <c r="BH63" s="84"/>
    </row>
    <row r="64" spans="1:80" ht="15" customHeight="1" x14ac:dyDescent="0.25">
      <c r="A64" s="84"/>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4"/>
      <c r="AV64" s="84"/>
      <c r="AW64" s="84"/>
      <c r="AX64" s="84"/>
      <c r="AY64" s="84"/>
      <c r="AZ64" s="84"/>
      <c r="BA64" s="84"/>
      <c r="BB64" s="84"/>
      <c r="BC64" s="84"/>
      <c r="BD64" s="84"/>
      <c r="BE64" s="84"/>
      <c r="BF64" s="84"/>
      <c r="BG64" s="84"/>
      <c r="BH64" s="84"/>
    </row>
    <row r="65" spans="1:6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x14ac:dyDescent="0.25">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x14ac:dyDescent="0.25">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x14ac:dyDescent="0.25">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x14ac:dyDescent="0.25">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x14ac:dyDescent="0.25">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x14ac:dyDescent="0.25">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x14ac:dyDescent="0.25">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x14ac:dyDescent="0.25">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x14ac:dyDescent="0.25">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x14ac:dyDescent="0.25">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x14ac:dyDescent="0.25">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x14ac:dyDescent="0.25">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x14ac:dyDescent="0.25">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x14ac:dyDescent="0.25">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x14ac:dyDescent="0.25">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x14ac:dyDescent="0.25">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x14ac:dyDescent="0.25">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x14ac:dyDescent="0.25">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x14ac:dyDescent="0.25">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x14ac:dyDescent="0.25">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x14ac:dyDescent="0.25">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x14ac:dyDescent="0.25">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x14ac:dyDescent="0.25">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x14ac:dyDescent="0.25">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x14ac:dyDescent="0.25">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x14ac:dyDescent="0.25">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x14ac:dyDescent="0.25">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x14ac:dyDescent="0.25">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x14ac:dyDescent="0.25">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x14ac:dyDescent="0.25">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x14ac:dyDescent="0.25">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x14ac:dyDescent="0.25">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x14ac:dyDescent="0.25">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x14ac:dyDescent="0.25">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x14ac:dyDescent="0.25">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x14ac:dyDescent="0.25">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x14ac:dyDescent="0.25">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x14ac:dyDescent="0.25">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x14ac:dyDescent="0.25">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x14ac:dyDescent="0.25">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x14ac:dyDescent="0.25">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x14ac:dyDescent="0.25">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x14ac:dyDescent="0.25">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x14ac:dyDescent="0.25">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x14ac:dyDescent="0.25">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x14ac:dyDescent="0.25">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x14ac:dyDescent="0.25">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x14ac:dyDescent="0.25">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x14ac:dyDescent="0.25">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x14ac:dyDescent="0.25">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x14ac:dyDescent="0.25">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x14ac:dyDescent="0.25">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x14ac:dyDescent="0.25">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x14ac:dyDescent="0.25">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x14ac:dyDescent="0.25">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x14ac:dyDescent="0.25">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x14ac:dyDescent="0.25">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x14ac:dyDescent="0.25">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x14ac:dyDescent="0.25">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x14ac:dyDescent="0.25">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x14ac:dyDescent="0.25">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x14ac:dyDescent="0.25">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x14ac:dyDescent="0.25">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x14ac:dyDescent="0.25">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x14ac:dyDescent="0.25">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x14ac:dyDescent="0.25">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x14ac:dyDescent="0.25">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x14ac:dyDescent="0.25">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x14ac:dyDescent="0.25">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x14ac:dyDescent="0.25">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x14ac:dyDescent="0.25">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x14ac:dyDescent="0.25">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x14ac:dyDescent="0.25">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x14ac:dyDescent="0.25">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x14ac:dyDescent="0.25">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x14ac:dyDescent="0.25">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x14ac:dyDescent="0.25">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x14ac:dyDescent="0.25">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x14ac:dyDescent="0.25">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x14ac:dyDescent="0.25">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x14ac:dyDescent="0.25">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x14ac:dyDescent="0.25">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x14ac:dyDescent="0.25">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x14ac:dyDescent="0.25">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x14ac:dyDescent="0.25">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x14ac:dyDescent="0.25">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x14ac:dyDescent="0.25">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x14ac:dyDescent="0.25">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x14ac:dyDescent="0.25">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x14ac:dyDescent="0.25">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x14ac:dyDescent="0.25">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x14ac:dyDescent="0.25">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x14ac:dyDescent="0.25">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x14ac:dyDescent="0.25">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x14ac:dyDescent="0.25">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x14ac:dyDescent="0.25">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x14ac:dyDescent="0.25">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x14ac:dyDescent="0.25">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x14ac:dyDescent="0.25">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x14ac:dyDescent="0.25">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x14ac:dyDescent="0.25">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x14ac:dyDescent="0.25">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x14ac:dyDescent="0.25">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x14ac:dyDescent="0.25">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x14ac:dyDescent="0.25">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x14ac:dyDescent="0.25">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x14ac:dyDescent="0.25">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x14ac:dyDescent="0.25">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x14ac:dyDescent="0.25">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x14ac:dyDescent="0.25">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x14ac:dyDescent="0.25">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x14ac:dyDescent="0.25">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x14ac:dyDescent="0.25">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x14ac:dyDescent="0.25">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x14ac:dyDescent="0.25">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x14ac:dyDescent="0.25">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x14ac:dyDescent="0.25">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x14ac:dyDescent="0.25">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x14ac:dyDescent="0.25">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x14ac:dyDescent="0.25">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x14ac:dyDescent="0.25">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x14ac:dyDescent="0.25">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x14ac:dyDescent="0.25">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x14ac:dyDescent="0.25">
      <c r="A245" s="84"/>
    </row>
    <row r="246" spans="1:60" x14ac:dyDescent="0.25">
      <c r="A246" s="84"/>
    </row>
    <row r="247" spans="1:60" x14ac:dyDescent="0.25">
      <c r="A247" s="84"/>
    </row>
    <row r="248" spans="1:60" x14ac:dyDescent="0.25">
      <c r="A248" s="84"/>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C6" sqref="C6"/>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4"/>
      <c r="B1" s="433" t="s">
        <v>55</v>
      </c>
      <c r="C1" s="433"/>
      <c r="D1" s="433"/>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x14ac:dyDescent="0.2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5" x14ac:dyDescent="0.25">
      <c r="A3" s="84"/>
      <c r="B3" s="11"/>
      <c r="C3" s="12" t="s">
        <v>52</v>
      </c>
      <c r="D3" s="12" t="s">
        <v>4</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1" x14ac:dyDescent="0.25">
      <c r="A4" s="84"/>
      <c r="B4" s="13" t="s">
        <v>51</v>
      </c>
      <c r="C4" s="14" t="s">
        <v>102</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1" x14ac:dyDescent="0.25">
      <c r="A5" s="84"/>
      <c r="B5" s="16" t="s">
        <v>53</v>
      </c>
      <c r="C5" s="17" t="s">
        <v>103</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1" x14ac:dyDescent="0.25">
      <c r="A6" s="84"/>
      <c r="B6" s="19" t="s">
        <v>107</v>
      </c>
      <c r="C6" s="17" t="s">
        <v>104</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6.5" x14ac:dyDescent="0.25">
      <c r="A7" s="84"/>
      <c r="B7" s="20" t="s">
        <v>6</v>
      </c>
      <c r="C7" s="17" t="s">
        <v>105</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1" x14ac:dyDescent="0.25">
      <c r="A8" s="84"/>
      <c r="B8" s="21" t="s">
        <v>54</v>
      </c>
      <c r="C8" s="17" t="s">
        <v>106</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x14ac:dyDescent="0.25">
      <c r="A9" s="84"/>
      <c r="B9" s="108"/>
      <c r="C9" s="108"/>
      <c r="D9" s="108"/>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6.5" x14ac:dyDescent="0.25">
      <c r="A10" s="84"/>
      <c r="B10" s="109"/>
      <c r="C10" s="108"/>
      <c r="D10" s="108"/>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25">
      <c r="A11" s="84"/>
      <c r="B11" s="108"/>
      <c r="C11" s="108"/>
      <c r="D11" s="108"/>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x14ac:dyDescent="0.25">
      <c r="A12" s="84"/>
      <c r="B12" s="108"/>
      <c r="C12" s="108"/>
      <c r="D12" s="108"/>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x14ac:dyDescent="0.25">
      <c r="A13" s="84"/>
      <c r="B13" s="108"/>
      <c r="C13" s="108"/>
      <c r="D13" s="108"/>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x14ac:dyDescent="0.25">
      <c r="A14" s="84"/>
      <c r="B14" s="108"/>
      <c r="C14" s="108"/>
      <c r="D14" s="108"/>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x14ac:dyDescent="0.25">
      <c r="A15" s="84"/>
      <c r="B15" s="108"/>
      <c r="C15" s="108"/>
      <c r="D15" s="108"/>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25">
      <c r="A16" s="84"/>
      <c r="B16" s="108"/>
      <c r="C16" s="108"/>
      <c r="D16" s="108"/>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x14ac:dyDescent="0.25">
      <c r="A17" s="84"/>
      <c r="B17" s="108"/>
      <c r="C17" s="108"/>
      <c r="D17" s="108"/>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x14ac:dyDescent="0.25">
      <c r="A18" s="84"/>
      <c r="B18" s="108"/>
      <c r="C18" s="108"/>
      <c r="D18" s="108"/>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x14ac:dyDescent="0.25">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x14ac:dyDescent="0.25">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x14ac:dyDescent="0.25">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x14ac:dyDescent="0.25">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x14ac:dyDescent="0.2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x14ac:dyDescent="0.25">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x14ac:dyDescent="0.25">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x14ac:dyDescent="0.25">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x14ac:dyDescent="0.25">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x14ac:dyDescent="0.25">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x14ac:dyDescent="0.25">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x14ac:dyDescent="0.25">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x14ac:dyDescent="0.25">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x14ac:dyDescent="0.25">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x14ac:dyDescent="0.25">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x14ac:dyDescent="0.25">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x14ac:dyDescent="0.25">
      <c r="A35" s="84"/>
    </row>
    <row r="36" spans="1:31" x14ac:dyDescent="0.25">
      <c r="A36" s="84"/>
    </row>
    <row r="37" spans="1:31" x14ac:dyDescent="0.25">
      <c r="A37" s="84"/>
    </row>
    <row r="38" spans="1:31" x14ac:dyDescent="0.25">
      <c r="A38" s="84"/>
    </row>
    <row r="39" spans="1:31" x14ac:dyDescent="0.25">
      <c r="A39" s="84"/>
    </row>
    <row r="40" spans="1:31" x14ac:dyDescent="0.25">
      <c r="A40" s="84"/>
    </row>
    <row r="41" spans="1:31" x14ac:dyDescent="0.25">
      <c r="A41" s="84"/>
    </row>
    <row r="42" spans="1:31" x14ac:dyDescent="0.25">
      <c r="A42" s="84"/>
    </row>
    <row r="43" spans="1:31" x14ac:dyDescent="0.25">
      <c r="A43" s="84"/>
    </row>
    <row r="44" spans="1:31" x14ac:dyDescent="0.25">
      <c r="A44" s="84"/>
    </row>
    <row r="45" spans="1:31" x14ac:dyDescent="0.25">
      <c r="A45" s="84"/>
    </row>
    <row r="46" spans="1:31" x14ac:dyDescent="0.25">
      <c r="A46" s="84"/>
    </row>
    <row r="47" spans="1:31" x14ac:dyDescent="0.25">
      <c r="A47" s="84"/>
    </row>
    <row r="48" spans="1:31" x14ac:dyDescent="0.25">
      <c r="A48" s="84"/>
    </row>
    <row r="49" spans="1:1" x14ac:dyDescent="0.25">
      <c r="A49" s="84"/>
    </row>
    <row r="50" spans="1:1" x14ac:dyDescent="0.25">
      <c r="A50" s="84"/>
    </row>
    <row r="51" spans="1:1" x14ac:dyDescent="0.25">
      <c r="A51" s="84"/>
    </row>
    <row r="52" spans="1:1" x14ac:dyDescent="0.25">
      <c r="A52" s="84"/>
    </row>
    <row r="53" spans="1:1" x14ac:dyDescent="0.25">
      <c r="A53" s="84"/>
    </row>
    <row r="54" spans="1:1" x14ac:dyDescent="0.25">
      <c r="A54" s="84"/>
    </row>
    <row r="55" spans="1:1" x14ac:dyDescent="0.25">
      <c r="A55" s="8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A6" sqref="A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4"/>
      <c r="B1" s="434" t="s">
        <v>63</v>
      </c>
      <c r="C1" s="434"/>
      <c r="D1" s="434"/>
      <c r="E1" s="84"/>
      <c r="F1" s="84"/>
      <c r="G1" s="84"/>
      <c r="H1" s="84"/>
      <c r="I1" s="84"/>
      <c r="J1" s="84"/>
      <c r="K1" s="84"/>
      <c r="L1" s="84"/>
      <c r="M1" s="84"/>
      <c r="N1" s="84"/>
      <c r="O1" s="84"/>
      <c r="P1" s="84"/>
      <c r="Q1" s="84"/>
      <c r="R1" s="84"/>
      <c r="S1" s="84"/>
      <c r="T1" s="84"/>
      <c r="U1" s="84"/>
    </row>
    <row r="2" spans="1:21" x14ac:dyDescent="0.25">
      <c r="A2" s="84"/>
      <c r="B2" s="84"/>
      <c r="C2" s="84"/>
      <c r="D2" s="84"/>
      <c r="E2" s="84"/>
      <c r="F2" s="84"/>
      <c r="G2" s="84"/>
      <c r="H2" s="84"/>
      <c r="I2" s="84"/>
      <c r="J2" s="84"/>
      <c r="K2" s="84"/>
      <c r="L2" s="84"/>
      <c r="M2" s="84"/>
      <c r="N2" s="84"/>
      <c r="O2" s="84"/>
      <c r="P2" s="84"/>
      <c r="Q2" s="84"/>
      <c r="R2" s="84"/>
      <c r="S2" s="84"/>
      <c r="T2" s="84"/>
      <c r="U2" s="84"/>
    </row>
    <row r="3" spans="1:21" ht="30" x14ac:dyDescent="0.25">
      <c r="A3" s="84"/>
      <c r="B3" s="105"/>
      <c r="C3" s="36" t="s">
        <v>56</v>
      </c>
      <c r="D3" s="36" t="s">
        <v>57</v>
      </c>
      <c r="E3" s="84"/>
      <c r="F3" s="84"/>
      <c r="G3" s="84"/>
      <c r="H3" s="84"/>
      <c r="I3" s="84"/>
      <c r="J3" s="84"/>
      <c r="K3" s="84"/>
      <c r="L3" s="84"/>
      <c r="M3" s="84"/>
      <c r="N3" s="84"/>
      <c r="O3" s="84"/>
      <c r="P3" s="84"/>
      <c r="Q3" s="84"/>
      <c r="R3" s="84"/>
      <c r="S3" s="84"/>
      <c r="T3" s="84"/>
      <c r="U3" s="84"/>
    </row>
    <row r="4" spans="1:21" ht="33.75" x14ac:dyDescent="0.25">
      <c r="A4" s="104" t="s">
        <v>83</v>
      </c>
      <c r="B4" s="39" t="s">
        <v>101</v>
      </c>
      <c r="C4" s="44" t="s">
        <v>158</v>
      </c>
      <c r="D4" s="37" t="s">
        <v>97</v>
      </c>
      <c r="E4" s="84"/>
      <c r="F4" s="84"/>
      <c r="G4" s="84"/>
      <c r="H4" s="84"/>
      <c r="I4" s="84"/>
      <c r="J4" s="84"/>
      <c r="K4" s="84"/>
      <c r="L4" s="84"/>
      <c r="M4" s="84"/>
      <c r="N4" s="84"/>
      <c r="O4" s="84"/>
      <c r="P4" s="84"/>
      <c r="Q4" s="84"/>
      <c r="R4" s="84"/>
      <c r="S4" s="84"/>
      <c r="T4" s="84"/>
      <c r="U4" s="84"/>
    </row>
    <row r="5" spans="1:21" ht="67.5" x14ac:dyDescent="0.25">
      <c r="A5" s="104" t="s">
        <v>84</v>
      </c>
      <c r="B5" s="40" t="s">
        <v>59</v>
      </c>
      <c r="C5" s="45" t="s">
        <v>93</v>
      </c>
      <c r="D5" s="38" t="s">
        <v>98</v>
      </c>
      <c r="E5" s="84"/>
      <c r="F5" s="84"/>
      <c r="G5" s="84"/>
      <c r="H5" s="84"/>
      <c r="I5" s="84"/>
      <c r="J5" s="84"/>
      <c r="K5" s="84"/>
      <c r="L5" s="84"/>
      <c r="M5" s="84"/>
      <c r="N5" s="84"/>
      <c r="O5" s="84"/>
      <c r="P5" s="84"/>
      <c r="Q5" s="84"/>
      <c r="R5" s="84"/>
      <c r="S5" s="84"/>
      <c r="T5" s="84"/>
      <c r="U5" s="84"/>
    </row>
    <row r="6" spans="1:21" ht="67.5" x14ac:dyDescent="0.25">
      <c r="A6" s="104" t="s">
        <v>81</v>
      </c>
      <c r="B6" s="41" t="s">
        <v>60</v>
      </c>
      <c r="C6" s="45" t="s">
        <v>94</v>
      </c>
      <c r="D6" s="38" t="s">
        <v>100</v>
      </c>
      <c r="E6" s="84"/>
      <c r="F6" s="84"/>
      <c r="G6" s="84"/>
      <c r="H6" s="84"/>
      <c r="I6" s="84"/>
      <c r="J6" s="84"/>
      <c r="K6" s="84"/>
      <c r="L6" s="84"/>
      <c r="M6" s="84"/>
      <c r="N6" s="84"/>
      <c r="O6" s="84"/>
      <c r="P6" s="84"/>
      <c r="Q6" s="84"/>
      <c r="R6" s="84"/>
      <c r="S6" s="84"/>
      <c r="T6" s="84"/>
      <c r="U6" s="84"/>
    </row>
    <row r="7" spans="1:21" ht="101.25" x14ac:dyDescent="0.25">
      <c r="A7" s="104" t="s">
        <v>7</v>
      </c>
      <c r="B7" s="42" t="s">
        <v>61</v>
      </c>
      <c r="C7" s="45" t="s">
        <v>95</v>
      </c>
      <c r="D7" s="38" t="s">
        <v>99</v>
      </c>
      <c r="E7" s="84"/>
      <c r="F7" s="84"/>
      <c r="G7" s="84"/>
      <c r="H7" s="84"/>
      <c r="I7" s="84"/>
      <c r="J7" s="84"/>
      <c r="K7" s="84"/>
      <c r="L7" s="84"/>
      <c r="M7" s="84"/>
      <c r="N7" s="84"/>
      <c r="O7" s="84"/>
      <c r="P7" s="84"/>
      <c r="Q7" s="84"/>
      <c r="R7" s="84"/>
      <c r="S7" s="84"/>
      <c r="T7" s="84"/>
      <c r="U7" s="84"/>
    </row>
    <row r="8" spans="1:21" ht="67.5" x14ac:dyDescent="0.25">
      <c r="A8" s="104" t="s">
        <v>85</v>
      </c>
      <c r="B8" s="43" t="s">
        <v>62</v>
      </c>
      <c r="C8" s="45" t="s">
        <v>96</v>
      </c>
      <c r="D8" s="38" t="s">
        <v>118</v>
      </c>
      <c r="E8" s="84"/>
      <c r="F8" s="84"/>
      <c r="G8" s="84"/>
      <c r="H8" s="84"/>
      <c r="I8" s="84"/>
      <c r="J8" s="84"/>
      <c r="K8" s="84"/>
      <c r="L8" s="84"/>
      <c r="M8" s="84"/>
      <c r="N8" s="84"/>
      <c r="O8" s="84"/>
      <c r="P8" s="84"/>
      <c r="Q8" s="84"/>
      <c r="R8" s="84"/>
      <c r="S8" s="84"/>
      <c r="T8" s="84"/>
      <c r="U8" s="84"/>
    </row>
    <row r="9" spans="1:21" ht="20.25" x14ac:dyDescent="0.25">
      <c r="A9" s="104"/>
      <c r="B9" s="104"/>
      <c r="C9" s="106"/>
      <c r="D9" s="106"/>
      <c r="E9" s="84"/>
      <c r="F9" s="84"/>
      <c r="G9" s="84"/>
      <c r="H9" s="84"/>
      <c r="I9" s="84"/>
      <c r="J9" s="84"/>
      <c r="K9" s="84"/>
      <c r="L9" s="84"/>
      <c r="M9" s="84"/>
      <c r="N9" s="84"/>
      <c r="O9" s="84"/>
      <c r="P9" s="84"/>
      <c r="Q9" s="84"/>
      <c r="R9" s="84"/>
      <c r="S9" s="84"/>
      <c r="T9" s="84"/>
      <c r="U9" s="84"/>
    </row>
    <row r="10" spans="1:21" ht="16.5" x14ac:dyDescent="0.25">
      <c r="A10" s="104"/>
      <c r="B10" s="107"/>
      <c r="C10" s="107"/>
      <c r="D10" s="107"/>
      <c r="E10" s="84"/>
      <c r="F10" s="84"/>
      <c r="G10" s="84"/>
      <c r="H10" s="84"/>
      <c r="I10" s="84"/>
      <c r="J10" s="84"/>
      <c r="K10" s="84"/>
      <c r="L10" s="84"/>
      <c r="M10" s="84"/>
      <c r="N10" s="84"/>
      <c r="O10" s="84"/>
      <c r="P10" s="84"/>
      <c r="Q10" s="84"/>
      <c r="R10" s="84"/>
      <c r="S10" s="84"/>
      <c r="T10" s="84"/>
      <c r="U10" s="84"/>
    </row>
    <row r="11" spans="1:21" x14ac:dyDescent="0.25">
      <c r="A11" s="104"/>
      <c r="B11" s="104" t="s">
        <v>91</v>
      </c>
      <c r="C11" s="104" t="s">
        <v>146</v>
      </c>
      <c r="D11" s="104" t="s">
        <v>153</v>
      </c>
      <c r="E11" s="84"/>
      <c r="F11" s="84"/>
      <c r="G11" s="84"/>
      <c r="H11" s="84"/>
      <c r="I11" s="84"/>
      <c r="J11" s="84"/>
      <c r="K11" s="84"/>
      <c r="L11" s="84"/>
      <c r="M11" s="84"/>
      <c r="N11" s="84"/>
      <c r="O11" s="84"/>
      <c r="P11" s="84"/>
      <c r="Q11" s="84"/>
      <c r="R11" s="84"/>
      <c r="S11" s="84"/>
      <c r="T11" s="84"/>
      <c r="U11" s="84"/>
    </row>
    <row r="12" spans="1:21" x14ac:dyDescent="0.25">
      <c r="A12" s="104"/>
      <c r="B12" s="104" t="s">
        <v>89</v>
      </c>
      <c r="C12" s="104" t="s">
        <v>150</v>
      </c>
      <c r="D12" s="104" t="s">
        <v>154</v>
      </c>
      <c r="E12" s="84"/>
      <c r="F12" s="84"/>
      <c r="G12" s="84"/>
      <c r="H12" s="84"/>
      <c r="I12" s="84"/>
      <c r="J12" s="84"/>
      <c r="K12" s="84"/>
      <c r="L12" s="84"/>
      <c r="M12" s="84"/>
      <c r="N12" s="84"/>
      <c r="O12" s="84"/>
      <c r="P12" s="84"/>
      <c r="Q12" s="84"/>
      <c r="R12" s="84"/>
      <c r="S12" s="84"/>
      <c r="T12" s="84"/>
      <c r="U12" s="84"/>
    </row>
    <row r="13" spans="1:21" x14ac:dyDescent="0.25">
      <c r="A13" s="104"/>
      <c r="B13" s="104"/>
      <c r="C13" s="104" t="s">
        <v>149</v>
      </c>
      <c r="D13" s="104" t="s">
        <v>155</v>
      </c>
      <c r="E13" s="84"/>
      <c r="F13" s="84"/>
      <c r="G13" s="84"/>
      <c r="H13" s="84"/>
      <c r="I13" s="84"/>
      <c r="J13" s="84"/>
      <c r="K13" s="84"/>
      <c r="L13" s="84"/>
      <c r="M13" s="84"/>
      <c r="N13" s="84"/>
      <c r="O13" s="84"/>
      <c r="P13" s="84"/>
      <c r="Q13" s="84"/>
      <c r="R13" s="84"/>
      <c r="S13" s="84"/>
      <c r="T13" s="84"/>
      <c r="U13" s="84"/>
    </row>
    <row r="14" spans="1:21" x14ac:dyDescent="0.25">
      <c r="A14" s="104"/>
      <c r="B14" s="104"/>
      <c r="C14" s="104" t="s">
        <v>151</v>
      </c>
      <c r="D14" s="104" t="s">
        <v>156</v>
      </c>
      <c r="E14" s="84"/>
      <c r="F14" s="84"/>
      <c r="G14" s="84"/>
      <c r="H14" s="84"/>
      <c r="I14" s="84"/>
      <c r="J14" s="84"/>
      <c r="K14" s="84"/>
      <c r="L14" s="84"/>
      <c r="M14" s="84"/>
      <c r="N14" s="84"/>
      <c r="O14" s="84"/>
      <c r="P14" s="84"/>
      <c r="Q14" s="84"/>
      <c r="R14" s="84"/>
      <c r="S14" s="84"/>
      <c r="T14" s="84"/>
      <c r="U14" s="84"/>
    </row>
    <row r="15" spans="1:21" x14ac:dyDescent="0.25">
      <c r="A15" s="104"/>
      <c r="B15" s="104"/>
      <c r="C15" s="104" t="s">
        <v>152</v>
      </c>
      <c r="D15" s="104" t="s">
        <v>157</v>
      </c>
      <c r="E15" s="84"/>
      <c r="F15" s="84"/>
      <c r="G15" s="84"/>
      <c r="H15" s="84"/>
      <c r="I15" s="84"/>
      <c r="J15" s="84"/>
      <c r="K15" s="84"/>
      <c r="L15" s="84"/>
      <c r="M15" s="84"/>
      <c r="N15" s="84"/>
      <c r="O15" s="84"/>
      <c r="P15" s="84"/>
      <c r="Q15" s="84"/>
      <c r="R15" s="84"/>
      <c r="S15" s="84"/>
      <c r="T15" s="84"/>
      <c r="U15" s="84"/>
    </row>
    <row r="16" spans="1:21" x14ac:dyDescent="0.25">
      <c r="A16" s="104"/>
      <c r="B16" s="104"/>
      <c r="C16" s="104"/>
      <c r="D16" s="104"/>
      <c r="E16" s="84"/>
      <c r="F16" s="84"/>
      <c r="G16" s="84"/>
      <c r="H16" s="84"/>
      <c r="I16" s="84"/>
      <c r="J16" s="84"/>
      <c r="K16" s="84"/>
      <c r="L16" s="84"/>
      <c r="M16" s="84"/>
      <c r="N16" s="84"/>
      <c r="O16" s="84"/>
    </row>
    <row r="17" spans="1:15" x14ac:dyDescent="0.25">
      <c r="A17" s="104"/>
      <c r="B17" s="104"/>
      <c r="C17" s="104"/>
      <c r="D17" s="104"/>
      <c r="E17" s="84"/>
      <c r="F17" s="84"/>
      <c r="G17" s="84"/>
      <c r="H17" s="84"/>
      <c r="I17" s="84"/>
      <c r="J17" s="84"/>
      <c r="K17" s="84"/>
      <c r="L17" s="84"/>
      <c r="M17" s="84"/>
      <c r="N17" s="84"/>
      <c r="O17" s="84"/>
    </row>
    <row r="18" spans="1:15" x14ac:dyDescent="0.25">
      <c r="A18" s="104"/>
      <c r="B18" s="108"/>
      <c r="C18" s="108"/>
      <c r="D18" s="108"/>
      <c r="E18" s="84"/>
      <c r="F18" s="84"/>
      <c r="G18" s="84"/>
      <c r="H18" s="84"/>
      <c r="I18" s="84"/>
      <c r="J18" s="84"/>
      <c r="K18" s="84"/>
      <c r="L18" s="84"/>
      <c r="M18" s="84"/>
      <c r="N18" s="84"/>
      <c r="O18" s="84"/>
    </row>
    <row r="19" spans="1:15" x14ac:dyDescent="0.25">
      <c r="A19" s="104"/>
      <c r="B19" s="108"/>
      <c r="C19" s="108"/>
      <c r="D19" s="108"/>
      <c r="E19" s="84"/>
      <c r="F19" s="84"/>
      <c r="G19" s="84"/>
      <c r="H19" s="84"/>
      <c r="I19" s="84"/>
      <c r="J19" s="84"/>
      <c r="K19" s="84"/>
      <c r="L19" s="84"/>
      <c r="M19" s="84"/>
      <c r="N19" s="84"/>
      <c r="O19" s="84"/>
    </row>
    <row r="20" spans="1:15" x14ac:dyDescent="0.25">
      <c r="A20" s="104"/>
      <c r="B20" s="108"/>
      <c r="C20" s="108"/>
      <c r="D20" s="108"/>
      <c r="E20" s="84"/>
      <c r="F20" s="84"/>
      <c r="G20" s="84"/>
      <c r="H20" s="84"/>
      <c r="I20" s="84"/>
      <c r="J20" s="84"/>
      <c r="K20" s="84"/>
      <c r="L20" s="84"/>
      <c r="M20" s="84"/>
      <c r="N20" s="84"/>
      <c r="O20" s="84"/>
    </row>
    <row r="21" spans="1:15" x14ac:dyDescent="0.25">
      <c r="A21" s="104"/>
      <c r="B21" s="108"/>
      <c r="C21" s="108"/>
      <c r="D21" s="108"/>
      <c r="E21" s="84"/>
      <c r="F21" s="84"/>
      <c r="G21" s="84"/>
      <c r="H21" s="84"/>
      <c r="I21" s="84"/>
      <c r="J21" s="84"/>
      <c r="K21" s="84"/>
      <c r="L21" s="84"/>
      <c r="M21" s="84"/>
      <c r="N21" s="84"/>
      <c r="O21" s="84"/>
    </row>
    <row r="22" spans="1:15" ht="20.25" x14ac:dyDescent="0.25">
      <c r="A22" s="104"/>
      <c r="B22" s="104"/>
      <c r="C22" s="106"/>
      <c r="D22" s="106"/>
      <c r="E22" s="84"/>
      <c r="F22" s="84"/>
      <c r="G22" s="84"/>
      <c r="H22" s="84"/>
      <c r="I22" s="84"/>
      <c r="J22" s="84"/>
      <c r="K22" s="84"/>
      <c r="L22" s="84"/>
      <c r="M22" s="84"/>
      <c r="N22" s="84"/>
      <c r="O22" s="84"/>
    </row>
    <row r="23" spans="1:15" ht="20.25" x14ac:dyDescent="0.25">
      <c r="A23" s="104"/>
      <c r="B23" s="104"/>
      <c r="C23" s="106"/>
      <c r="D23" s="106"/>
      <c r="E23" s="84"/>
      <c r="F23" s="84"/>
      <c r="G23" s="84"/>
      <c r="H23" s="84"/>
      <c r="I23" s="84"/>
      <c r="J23" s="84"/>
      <c r="K23" s="84"/>
      <c r="L23" s="84"/>
      <c r="M23" s="84"/>
      <c r="N23" s="84"/>
      <c r="O23" s="84"/>
    </row>
    <row r="24" spans="1:15" ht="20.25" x14ac:dyDescent="0.25">
      <c r="A24" s="104"/>
      <c r="B24" s="104"/>
      <c r="C24" s="106"/>
      <c r="D24" s="106"/>
      <c r="E24" s="84"/>
      <c r="F24" s="84"/>
      <c r="G24" s="84"/>
      <c r="H24" s="84"/>
      <c r="I24" s="84"/>
      <c r="J24" s="84"/>
      <c r="K24" s="84"/>
      <c r="L24" s="84"/>
      <c r="M24" s="84"/>
      <c r="N24" s="84"/>
      <c r="O24" s="84"/>
    </row>
    <row r="25" spans="1:15" ht="20.25" x14ac:dyDescent="0.25">
      <c r="A25" s="104"/>
      <c r="B25" s="104"/>
      <c r="C25" s="106"/>
      <c r="D25" s="106"/>
      <c r="E25" s="84"/>
      <c r="F25" s="84"/>
      <c r="G25" s="84"/>
      <c r="H25" s="84"/>
      <c r="I25" s="84"/>
      <c r="J25" s="84"/>
      <c r="K25" s="84"/>
      <c r="L25" s="84"/>
      <c r="M25" s="84"/>
      <c r="N25" s="84"/>
      <c r="O25" s="84"/>
    </row>
    <row r="26" spans="1:15" ht="20.25" x14ac:dyDescent="0.25">
      <c r="A26" s="104"/>
      <c r="B26" s="104"/>
      <c r="C26" s="106"/>
      <c r="D26" s="106"/>
      <c r="E26" s="84"/>
      <c r="F26" s="84"/>
      <c r="G26" s="84"/>
      <c r="H26" s="84"/>
      <c r="I26" s="84"/>
      <c r="J26" s="84"/>
      <c r="K26" s="84"/>
      <c r="L26" s="84"/>
      <c r="M26" s="84"/>
      <c r="N26" s="84"/>
      <c r="O26" s="84"/>
    </row>
    <row r="27" spans="1:15" ht="20.25" x14ac:dyDescent="0.25">
      <c r="A27" s="104"/>
      <c r="B27" s="104"/>
      <c r="C27" s="106"/>
      <c r="D27" s="106"/>
      <c r="E27" s="84"/>
      <c r="F27" s="84"/>
      <c r="G27" s="84"/>
      <c r="H27" s="84"/>
      <c r="I27" s="84"/>
      <c r="J27" s="84"/>
      <c r="K27" s="84"/>
      <c r="L27" s="84"/>
      <c r="M27" s="84"/>
      <c r="N27" s="84"/>
      <c r="O27" s="84"/>
    </row>
    <row r="28" spans="1:15" ht="20.25" x14ac:dyDescent="0.25">
      <c r="A28" s="104"/>
      <c r="B28" s="104"/>
      <c r="C28" s="106"/>
      <c r="D28" s="106"/>
      <c r="E28" s="84"/>
      <c r="F28" s="84"/>
      <c r="G28" s="84"/>
      <c r="H28" s="84"/>
      <c r="I28" s="84"/>
      <c r="J28" s="84"/>
      <c r="K28" s="84"/>
      <c r="L28" s="84"/>
      <c r="M28" s="84"/>
      <c r="N28" s="84"/>
      <c r="O28" s="84"/>
    </row>
    <row r="29" spans="1:15" ht="20.25" x14ac:dyDescent="0.25">
      <c r="A29" s="104"/>
      <c r="B29" s="104"/>
      <c r="C29" s="106"/>
      <c r="D29" s="106"/>
      <c r="E29" s="84"/>
      <c r="F29" s="84"/>
      <c r="G29" s="84"/>
      <c r="H29" s="84"/>
      <c r="I29" s="84"/>
      <c r="J29" s="84"/>
      <c r="K29" s="84"/>
      <c r="L29" s="84"/>
      <c r="M29" s="84"/>
      <c r="N29" s="84"/>
      <c r="O29" s="84"/>
    </row>
    <row r="30" spans="1:15" ht="20.25" x14ac:dyDescent="0.25">
      <c r="A30" s="104"/>
      <c r="B30" s="104"/>
      <c r="C30" s="106"/>
      <c r="D30" s="106"/>
      <c r="E30" s="84"/>
      <c r="F30" s="84"/>
      <c r="G30" s="84"/>
      <c r="H30" s="84"/>
      <c r="I30" s="84"/>
      <c r="J30" s="84"/>
      <c r="K30" s="84"/>
      <c r="L30" s="84"/>
      <c r="M30" s="84"/>
      <c r="N30" s="84"/>
      <c r="O30" s="84"/>
    </row>
    <row r="31" spans="1:15" ht="20.25" x14ac:dyDescent="0.25">
      <c r="A31" s="104"/>
      <c r="B31" s="104"/>
      <c r="C31" s="106"/>
      <c r="D31" s="106"/>
      <c r="E31" s="84"/>
      <c r="F31" s="84"/>
      <c r="G31" s="84"/>
      <c r="H31" s="84"/>
      <c r="I31" s="84"/>
      <c r="J31" s="84"/>
      <c r="K31" s="84"/>
      <c r="L31" s="84"/>
      <c r="M31" s="84"/>
      <c r="N31" s="84"/>
      <c r="O31" s="84"/>
    </row>
    <row r="32" spans="1:15" ht="20.25" x14ac:dyDescent="0.25">
      <c r="A32" s="104"/>
      <c r="B32" s="104"/>
      <c r="C32" s="106"/>
      <c r="D32" s="106"/>
      <c r="E32" s="84"/>
      <c r="F32" s="84"/>
      <c r="G32" s="84"/>
      <c r="H32" s="84"/>
      <c r="I32" s="84"/>
      <c r="J32" s="84"/>
      <c r="K32" s="84"/>
      <c r="L32" s="84"/>
      <c r="M32" s="84"/>
      <c r="N32" s="84"/>
      <c r="O32" s="84"/>
    </row>
    <row r="33" spans="1:15" ht="20.25" x14ac:dyDescent="0.25">
      <c r="A33" s="104"/>
      <c r="B33" s="104"/>
      <c r="C33" s="106"/>
      <c r="D33" s="106"/>
      <c r="E33" s="84"/>
      <c r="F33" s="84"/>
      <c r="G33" s="84"/>
      <c r="H33" s="84"/>
      <c r="I33" s="84"/>
      <c r="J33" s="84"/>
      <c r="K33" s="84"/>
      <c r="L33" s="84"/>
      <c r="M33" s="84"/>
      <c r="N33" s="84"/>
      <c r="O33" s="84"/>
    </row>
    <row r="34" spans="1:15" ht="20.25" x14ac:dyDescent="0.25">
      <c r="A34" s="104"/>
      <c r="B34" s="104"/>
      <c r="C34" s="106"/>
      <c r="D34" s="106"/>
      <c r="E34" s="84"/>
      <c r="F34" s="84"/>
      <c r="G34" s="84"/>
      <c r="H34" s="84"/>
      <c r="I34" s="84"/>
      <c r="J34" s="84"/>
      <c r="K34" s="84"/>
      <c r="L34" s="84"/>
      <c r="M34" s="84"/>
      <c r="N34" s="84"/>
      <c r="O34" s="84"/>
    </row>
    <row r="35" spans="1:15" ht="20.25" x14ac:dyDescent="0.25">
      <c r="A35" s="104"/>
      <c r="B35" s="104"/>
      <c r="C35" s="106"/>
      <c r="D35" s="106"/>
      <c r="E35" s="84"/>
      <c r="F35" s="84"/>
      <c r="G35" s="84"/>
      <c r="H35" s="84"/>
      <c r="I35" s="84"/>
      <c r="J35" s="84"/>
      <c r="K35" s="84"/>
      <c r="L35" s="84"/>
      <c r="M35" s="84"/>
      <c r="N35" s="84"/>
      <c r="O35" s="84"/>
    </row>
    <row r="36" spans="1:15" ht="20.25" x14ac:dyDescent="0.25">
      <c r="A36" s="104"/>
      <c r="B36" s="104"/>
      <c r="C36" s="106"/>
      <c r="D36" s="106"/>
      <c r="E36" s="84"/>
      <c r="F36" s="84"/>
      <c r="G36" s="84"/>
      <c r="H36" s="84"/>
      <c r="I36" s="84"/>
      <c r="J36" s="84"/>
      <c r="K36" s="84"/>
      <c r="L36" s="84"/>
      <c r="M36" s="84"/>
      <c r="N36" s="84"/>
      <c r="O36" s="84"/>
    </row>
    <row r="37" spans="1:15" ht="20.25" x14ac:dyDescent="0.25">
      <c r="A37" s="104"/>
      <c r="B37" s="104"/>
      <c r="C37" s="106"/>
      <c r="D37" s="106"/>
      <c r="E37" s="84"/>
      <c r="F37" s="84"/>
      <c r="G37" s="84"/>
      <c r="H37" s="84"/>
      <c r="I37" s="84"/>
      <c r="J37" s="84"/>
      <c r="K37" s="84"/>
      <c r="L37" s="84"/>
      <c r="M37" s="84"/>
      <c r="N37" s="84"/>
      <c r="O37" s="84"/>
    </row>
    <row r="38" spans="1:15" ht="20.25" x14ac:dyDescent="0.25">
      <c r="A38" s="104"/>
      <c r="B38" s="104"/>
      <c r="C38" s="106"/>
      <c r="D38" s="106"/>
      <c r="E38" s="84"/>
      <c r="F38" s="84"/>
      <c r="G38" s="84"/>
      <c r="H38" s="84"/>
      <c r="I38" s="84"/>
      <c r="J38" s="84"/>
      <c r="K38" s="84"/>
      <c r="L38" s="84"/>
      <c r="M38" s="84"/>
      <c r="N38" s="84"/>
      <c r="O38" s="84"/>
    </row>
    <row r="39" spans="1:15" ht="20.25" x14ac:dyDescent="0.25">
      <c r="A39" s="104"/>
      <c r="B39" s="104"/>
      <c r="C39" s="106"/>
      <c r="D39" s="106"/>
      <c r="E39" s="84"/>
      <c r="F39" s="84"/>
      <c r="G39" s="84"/>
      <c r="H39" s="84"/>
      <c r="I39" s="84"/>
      <c r="J39" s="84"/>
      <c r="K39" s="84"/>
      <c r="L39" s="84"/>
      <c r="M39" s="84"/>
      <c r="N39" s="84"/>
      <c r="O39" s="84"/>
    </row>
    <row r="40" spans="1:15" ht="20.25" x14ac:dyDescent="0.25">
      <c r="A40" s="104"/>
      <c r="B40" s="104"/>
      <c r="C40" s="106"/>
      <c r="D40" s="106"/>
      <c r="E40" s="84"/>
      <c r="F40" s="84"/>
      <c r="G40" s="84"/>
      <c r="H40" s="84"/>
      <c r="I40" s="84"/>
      <c r="J40" s="84"/>
      <c r="K40" s="84"/>
      <c r="L40" s="84"/>
      <c r="M40" s="84"/>
      <c r="N40" s="84"/>
      <c r="O40" s="84"/>
    </row>
    <row r="41" spans="1:15" ht="20.25" x14ac:dyDescent="0.25">
      <c r="A41" s="104"/>
      <c r="B41" s="104"/>
      <c r="C41" s="106"/>
      <c r="D41" s="106"/>
      <c r="E41" s="84"/>
      <c r="F41" s="84"/>
      <c r="G41" s="84"/>
      <c r="H41" s="84"/>
      <c r="I41" s="84"/>
      <c r="J41" s="84"/>
      <c r="K41" s="84"/>
      <c r="L41" s="84"/>
      <c r="M41" s="84"/>
      <c r="N41" s="84"/>
      <c r="O41" s="84"/>
    </row>
    <row r="42" spans="1:15" ht="20.25" x14ac:dyDescent="0.25">
      <c r="A42" s="104"/>
      <c r="B42" s="104"/>
      <c r="C42" s="106"/>
      <c r="D42" s="106"/>
      <c r="E42" s="84"/>
      <c r="F42" s="84"/>
      <c r="G42" s="84"/>
      <c r="H42" s="84"/>
      <c r="I42" s="84"/>
      <c r="J42" s="84"/>
      <c r="K42" s="84"/>
      <c r="L42" s="84"/>
      <c r="M42" s="84"/>
      <c r="N42" s="84"/>
      <c r="O42" s="84"/>
    </row>
    <row r="43" spans="1:15" ht="20.25" x14ac:dyDescent="0.25">
      <c r="A43" s="104"/>
      <c r="B43" s="104"/>
      <c r="C43" s="106"/>
      <c r="D43" s="106"/>
      <c r="E43" s="84"/>
      <c r="F43" s="84"/>
      <c r="G43" s="84"/>
      <c r="H43" s="84"/>
      <c r="I43" s="84"/>
      <c r="J43" s="84"/>
      <c r="K43" s="84"/>
      <c r="L43" s="84"/>
      <c r="M43" s="84"/>
      <c r="N43" s="84"/>
      <c r="O43" s="84"/>
    </row>
    <row r="44" spans="1:15" ht="20.25" x14ac:dyDescent="0.25">
      <c r="A44" s="104"/>
      <c r="B44" s="104"/>
      <c r="C44" s="106"/>
      <c r="D44" s="106"/>
      <c r="E44" s="84"/>
      <c r="F44" s="84"/>
      <c r="G44" s="84"/>
      <c r="H44" s="84"/>
      <c r="I44" s="84"/>
      <c r="J44" s="84"/>
      <c r="K44" s="84"/>
      <c r="L44" s="84"/>
      <c r="M44" s="84"/>
      <c r="N44" s="84"/>
      <c r="O44" s="84"/>
    </row>
    <row r="45" spans="1:15" ht="20.25" x14ac:dyDescent="0.25">
      <c r="A45" s="104"/>
      <c r="B45" s="104"/>
      <c r="C45" s="106"/>
      <c r="D45" s="106"/>
      <c r="E45" s="84"/>
      <c r="F45" s="84"/>
      <c r="G45" s="84"/>
      <c r="H45" s="84"/>
      <c r="I45" s="84"/>
      <c r="J45" s="84"/>
      <c r="K45" s="84"/>
      <c r="L45" s="84"/>
      <c r="M45" s="84"/>
      <c r="N45" s="84"/>
      <c r="O45" s="84"/>
    </row>
    <row r="46" spans="1:15" ht="20.25" x14ac:dyDescent="0.25">
      <c r="A46" s="104"/>
      <c r="B46" s="104"/>
      <c r="C46" s="106"/>
      <c r="D46" s="106"/>
      <c r="E46" s="84"/>
      <c r="F46" s="84"/>
      <c r="G46" s="84"/>
      <c r="H46" s="84"/>
      <c r="I46" s="84"/>
      <c r="J46" s="84"/>
      <c r="K46" s="84"/>
      <c r="L46" s="84"/>
      <c r="M46" s="84"/>
      <c r="N46" s="84"/>
      <c r="O46" s="84"/>
    </row>
    <row r="47" spans="1:15" ht="20.25" x14ac:dyDescent="0.25">
      <c r="A47" s="104"/>
      <c r="B47" s="104"/>
      <c r="C47" s="106"/>
      <c r="D47" s="106"/>
      <c r="E47" s="84"/>
      <c r="F47" s="84"/>
      <c r="G47" s="84"/>
      <c r="H47" s="84"/>
      <c r="I47" s="84"/>
      <c r="J47" s="84"/>
      <c r="K47" s="84"/>
      <c r="L47" s="84"/>
      <c r="M47" s="84"/>
      <c r="N47" s="84"/>
      <c r="O47" s="84"/>
    </row>
    <row r="48" spans="1:15" ht="20.25" x14ac:dyDescent="0.25">
      <c r="A48" s="104"/>
      <c r="B48" s="104"/>
      <c r="C48" s="106"/>
      <c r="D48" s="106"/>
      <c r="E48" s="84"/>
      <c r="F48" s="84"/>
      <c r="G48" s="84"/>
      <c r="H48" s="84"/>
      <c r="I48" s="84"/>
      <c r="J48" s="84"/>
      <c r="K48" s="84"/>
      <c r="L48" s="84"/>
      <c r="M48" s="84"/>
      <c r="N48" s="84"/>
      <c r="O48" s="84"/>
    </row>
    <row r="49" spans="1:15" ht="20.25" x14ac:dyDescent="0.25">
      <c r="A49" s="104"/>
      <c r="B49" s="104"/>
      <c r="C49" s="106"/>
      <c r="D49" s="106"/>
      <c r="E49" s="84"/>
      <c r="F49" s="84"/>
      <c r="G49" s="84"/>
      <c r="H49" s="84"/>
      <c r="I49" s="84"/>
      <c r="J49" s="84"/>
      <c r="K49" s="84"/>
      <c r="L49" s="84"/>
      <c r="M49" s="84"/>
      <c r="N49" s="84"/>
      <c r="O49" s="84"/>
    </row>
    <row r="50" spans="1:15" ht="20.25" x14ac:dyDescent="0.25">
      <c r="A50" s="104"/>
      <c r="B50" s="104"/>
      <c r="C50" s="106"/>
      <c r="D50" s="106"/>
      <c r="E50" s="84"/>
      <c r="F50" s="84"/>
      <c r="G50" s="84"/>
      <c r="H50" s="84"/>
      <c r="I50" s="84"/>
      <c r="J50" s="84"/>
      <c r="K50" s="84"/>
      <c r="L50" s="84"/>
      <c r="M50" s="84"/>
      <c r="N50" s="84"/>
      <c r="O50" s="84"/>
    </row>
    <row r="51" spans="1:15" ht="20.25" x14ac:dyDescent="0.25">
      <c r="A51" s="104"/>
      <c r="B51" s="104"/>
      <c r="C51" s="106"/>
      <c r="D51" s="106"/>
      <c r="E51" s="84"/>
      <c r="F51" s="84"/>
      <c r="G51" s="84"/>
      <c r="H51" s="84"/>
      <c r="I51" s="84"/>
      <c r="J51" s="84"/>
      <c r="K51" s="84"/>
      <c r="L51" s="84"/>
      <c r="M51" s="84"/>
      <c r="N51" s="84"/>
      <c r="O51" s="84"/>
    </row>
    <row r="52" spans="1:15" ht="20.25" x14ac:dyDescent="0.25">
      <c r="A52" s="104"/>
      <c r="B52" s="23"/>
      <c r="C52" s="34"/>
      <c r="D52" s="34"/>
    </row>
    <row r="53" spans="1:15" ht="20.25" x14ac:dyDescent="0.25">
      <c r="A53" s="104"/>
      <c r="B53" s="23"/>
      <c r="C53" s="34"/>
      <c r="D53" s="34"/>
    </row>
    <row r="54" spans="1:15" ht="20.25" x14ac:dyDescent="0.25">
      <c r="A54" s="104"/>
      <c r="B54" s="23"/>
      <c r="C54" s="34"/>
      <c r="D54" s="34"/>
    </row>
    <row r="55" spans="1:15" ht="20.25" x14ac:dyDescent="0.25">
      <c r="A55" s="104"/>
      <c r="B55" s="23"/>
      <c r="C55" s="34"/>
      <c r="D55" s="34"/>
    </row>
    <row r="56" spans="1:15" ht="20.25" x14ac:dyDescent="0.25">
      <c r="A56" s="104"/>
      <c r="B56" s="23"/>
      <c r="C56" s="34"/>
      <c r="D56" s="34"/>
    </row>
    <row r="57" spans="1:15" ht="20.25" x14ac:dyDescent="0.25">
      <c r="A57" s="104"/>
      <c r="B57" s="23"/>
      <c r="C57" s="34"/>
      <c r="D57" s="34"/>
    </row>
    <row r="58" spans="1:15" ht="20.25" x14ac:dyDescent="0.25">
      <c r="A58" s="104"/>
      <c r="B58" s="23"/>
      <c r="C58" s="34"/>
      <c r="D58" s="34"/>
    </row>
    <row r="59" spans="1:15" ht="20.25" x14ac:dyDescent="0.25">
      <c r="A59" s="104"/>
      <c r="B59" s="23"/>
      <c r="C59" s="34"/>
      <c r="D59" s="34"/>
    </row>
    <row r="60" spans="1:15" ht="20.25" x14ac:dyDescent="0.25">
      <c r="A60" s="104"/>
      <c r="B60" s="23"/>
      <c r="C60" s="34"/>
      <c r="D60" s="34"/>
    </row>
    <row r="61" spans="1:15" ht="20.25" x14ac:dyDescent="0.25">
      <c r="A61" s="104"/>
      <c r="B61" s="23"/>
      <c r="C61" s="34"/>
      <c r="D61" s="34"/>
    </row>
    <row r="62" spans="1:15" ht="20.25" x14ac:dyDescent="0.25">
      <c r="A62" s="104"/>
      <c r="B62" s="23"/>
      <c r="C62" s="34"/>
      <c r="D62" s="34"/>
    </row>
    <row r="63" spans="1:15" ht="20.25" x14ac:dyDescent="0.25">
      <c r="A63" s="104"/>
      <c r="B63" s="23"/>
      <c r="C63" s="34"/>
      <c r="D63" s="34"/>
    </row>
    <row r="64" spans="1:15" ht="20.25" x14ac:dyDescent="0.25">
      <c r="A64" s="104"/>
      <c r="B64" s="23"/>
      <c r="C64" s="34"/>
      <c r="D64" s="34"/>
    </row>
    <row r="65" spans="1:4" ht="20.25" x14ac:dyDescent="0.25">
      <c r="A65" s="104"/>
      <c r="B65" s="23"/>
      <c r="C65" s="34"/>
      <c r="D65" s="34"/>
    </row>
    <row r="66" spans="1:4" ht="20.25" x14ac:dyDescent="0.25">
      <c r="A66" s="104"/>
      <c r="B66" s="23"/>
      <c r="C66" s="34"/>
      <c r="D66" s="34"/>
    </row>
    <row r="67" spans="1:4" ht="20.25" x14ac:dyDescent="0.25">
      <c r="A67" s="104"/>
      <c r="B67" s="23"/>
      <c r="C67" s="34"/>
      <c r="D67" s="34"/>
    </row>
    <row r="68" spans="1:4" ht="20.25" x14ac:dyDescent="0.25">
      <c r="A68" s="104"/>
      <c r="B68" s="23"/>
      <c r="C68" s="34"/>
      <c r="D68" s="34"/>
    </row>
    <row r="69" spans="1:4" ht="20.25" x14ac:dyDescent="0.25">
      <c r="A69" s="104"/>
      <c r="B69" s="23"/>
      <c r="C69" s="34"/>
      <c r="D69" s="34"/>
    </row>
    <row r="70" spans="1:4" ht="20.25" x14ac:dyDescent="0.25">
      <c r="A70" s="104"/>
      <c r="B70" s="23"/>
      <c r="C70" s="34"/>
      <c r="D70" s="34"/>
    </row>
    <row r="71" spans="1:4" ht="20.25" x14ac:dyDescent="0.25">
      <c r="A71" s="104"/>
      <c r="B71" s="23"/>
      <c r="C71" s="34"/>
      <c r="D71" s="34"/>
    </row>
    <row r="72" spans="1:4" ht="20.25" x14ac:dyDescent="0.25">
      <c r="A72" s="104"/>
      <c r="B72" s="23"/>
      <c r="C72" s="34"/>
      <c r="D72" s="34"/>
    </row>
    <row r="73" spans="1:4" ht="20.25" x14ac:dyDescent="0.25">
      <c r="A73" s="104"/>
      <c r="B73" s="23"/>
      <c r="C73" s="34"/>
      <c r="D73" s="34"/>
    </row>
    <row r="74" spans="1:4" ht="20.25" x14ac:dyDescent="0.25">
      <c r="A74" s="104"/>
      <c r="B74" s="23"/>
      <c r="C74" s="34"/>
      <c r="D74" s="34"/>
    </row>
    <row r="75" spans="1:4" ht="20.25" x14ac:dyDescent="0.25">
      <c r="A75" s="104"/>
      <c r="B75" s="23"/>
      <c r="C75" s="34"/>
      <c r="D75" s="34"/>
    </row>
    <row r="76" spans="1:4" ht="20.25" x14ac:dyDescent="0.25">
      <c r="A76" s="104"/>
      <c r="B76" s="23"/>
      <c r="C76" s="34"/>
      <c r="D76" s="34"/>
    </row>
    <row r="77" spans="1:4" ht="20.25" x14ac:dyDescent="0.25">
      <c r="A77" s="104"/>
      <c r="B77" s="23"/>
      <c r="C77" s="34"/>
      <c r="D77" s="34"/>
    </row>
    <row r="78" spans="1:4" ht="20.25" x14ac:dyDescent="0.25">
      <c r="A78" s="104"/>
      <c r="B78" s="23"/>
      <c r="C78" s="34"/>
      <c r="D78" s="34"/>
    </row>
    <row r="79" spans="1:4" ht="20.25" x14ac:dyDescent="0.25">
      <c r="A79" s="104"/>
      <c r="B79" s="23"/>
      <c r="C79" s="34"/>
      <c r="D79" s="34"/>
    </row>
    <row r="80" spans="1:4" ht="20.25" x14ac:dyDescent="0.25">
      <c r="A80" s="104"/>
      <c r="B80" s="23"/>
      <c r="C80" s="34"/>
      <c r="D80" s="34"/>
    </row>
    <row r="81" spans="1:4" ht="20.25" x14ac:dyDescent="0.25">
      <c r="A81" s="104"/>
      <c r="B81" s="23"/>
      <c r="C81" s="34"/>
      <c r="D81" s="34"/>
    </row>
    <row r="82" spans="1:4" ht="20.25" x14ac:dyDescent="0.25">
      <c r="A82" s="104"/>
      <c r="B82" s="23"/>
      <c r="C82" s="34"/>
      <c r="D82" s="34"/>
    </row>
    <row r="83" spans="1:4" ht="20.25" x14ac:dyDescent="0.25">
      <c r="A83" s="104"/>
      <c r="B83" s="23"/>
      <c r="C83" s="34"/>
      <c r="D83" s="34"/>
    </row>
    <row r="84" spans="1:4" ht="20.25" x14ac:dyDescent="0.25">
      <c r="A84" s="104"/>
      <c r="B84" s="23"/>
      <c r="C84" s="34"/>
      <c r="D84" s="34"/>
    </row>
    <row r="85" spans="1:4" ht="20.25" x14ac:dyDescent="0.25">
      <c r="A85" s="104"/>
      <c r="B85" s="23"/>
      <c r="C85" s="34"/>
      <c r="D85" s="34"/>
    </row>
    <row r="86" spans="1:4" ht="20.25" x14ac:dyDescent="0.25">
      <c r="A86" s="104"/>
      <c r="B86" s="23"/>
      <c r="C86" s="34"/>
      <c r="D86" s="34"/>
    </row>
    <row r="87" spans="1:4" ht="20.25" x14ac:dyDescent="0.25">
      <c r="A87" s="104"/>
      <c r="B87" s="23"/>
      <c r="C87" s="34"/>
      <c r="D87" s="34"/>
    </row>
    <row r="88" spans="1:4" ht="20.25" x14ac:dyDescent="0.25">
      <c r="A88" s="104"/>
      <c r="B88" s="23"/>
      <c r="C88" s="34"/>
      <c r="D88" s="34"/>
    </row>
    <row r="89" spans="1:4" ht="20.25" x14ac:dyDescent="0.25">
      <c r="A89" s="104"/>
      <c r="B89" s="23"/>
      <c r="C89" s="34"/>
      <c r="D89" s="34"/>
    </row>
    <row r="90" spans="1:4" ht="20.25" x14ac:dyDescent="0.25">
      <c r="A90" s="104"/>
      <c r="B90" s="23"/>
      <c r="C90" s="34"/>
      <c r="D90" s="34"/>
    </row>
    <row r="91" spans="1:4" ht="20.25" x14ac:dyDescent="0.25">
      <c r="A91" s="104"/>
      <c r="B91" s="23"/>
      <c r="C91" s="34"/>
      <c r="D91" s="34"/>
    </row>
    <row r="92" spans="1:4" ht="20.25" x14ac:dyDescent="0.25">
      <c r="A92" s="104"/>
      <c r="B92" s="23"/>
      <c r="C92" s="34"/>
      <c r="D92" s="34"/>
    </row>
    <row r="93" spans="1:4" ht="20.25" x14ac:dyDescent="0.25">
      <c r="A93" s="104"/>
      <c r="B93" s="23"/>
      <c r="C93" s="34"/>
      <c r="D93" s="34"/>
    </row>
    <row r="94" spans="1:4" ht="20.25" x14ac:dyDescent="0.25">
      <c r="A94" s="104"/>
      <c r="B94" s="23"/>
      <c r="C94" s="34"/>
      <c r="D94" s="34"/>
    </row>
    <row r="95" spans="1:4" ht="20.25" x14ac:dyDescent="0.25">
      <c r="A95" s="104"/>
      <c r="B95" s="23"/>
      <c r="C95" s="34"/>
      <c r="D95" s="34"/>
    </row>
    <row r="96" spans="1:4" ht="20.25" x14ac:dyDescent="0.25">
      <c r="A96" s="104"/>
      <c r="B96" s="23"/>
      <c r="C96" s="34"/>
      <c r="D96" s="34"/>
    </row>
    <row r="97" spans="1:4" ht="20.25" x14ac:dyDescent="0.25">
      <c r="A97" s="104"/>
      <c r="B97" s="23"/>
      <c r="C97" s="34"/>
      <c r="D97" s="34"/>
    </row>
    <row r="98" spans="1:4" ht="20.25" x14ac:dyDescent="0.25">
      <c r="A98" s="104"/>
      <c r="B98" s="23"/>
      <c r="C98" s="34"/>
      <c r="D98" s="34"/>
    </row>
    <row r="99" spans="1:4" ht="20.25" x14ac:dyDescent="0.25">
      <c r="A99" s="104"/>
      <c r="B99" s="23"/>
      <c r="C99" s="34"/>
      <c r="D99" s="34"/>
    </row>
    <row r="100" spans="1:4" ht="20.25" x14ac:dyDescent="0.25">
      <c r="A100" s="104"/>
      <c r="B100" s="23"/>
      <c r="C100" s="34"/>
      <c r="D100" s="34"/>
    </row>
    <row r="101" spans="1:4" ht="20.25" x14ac:dyDescent="0.25">
      <c r="A101" s="104"/>
      <c r="B101" s="23"/>
      <c r="C101" s="34"/>
      <c r="D101" s="34"/>
    </row>
    <row r="102" spans="1:4" ht="20.25" x14ac:dyDescent="0.25">
      <c r="A102" s="104"/>
      <c r="B102" s="23"/>
      <c r="C102" s="34"/>
      <c r="D102" s="34"/>
    </row>
    <row r="103" spans="1:4" ht="20.25" x14ac:dyDescent="0.25">
      <c r="A103" s="104"/>
      <c r="B103" s="23"/>
      <c r="C103" s="34"/>
      <c r="D103" s="34"/>
    </row>
    <row r="104" spans="1:4" ht="20.25" x14ac:dyDescent="0.25">
      <c r="A104" s="104"/>
      <c r="B104" s="23"/>
      <c r="C104" s="34"/>
      <c r="D104" s="34"/>
    </row>
    <row r="105" spans="1:4" ht="20.25" x14ac:dyDescent="0.25">
      <c r="A105" s="104"/>
      <c r="B105" s="23"/>
      <c r="C105" s="34"/>
      <c r="D105" s="34"/>
    </row>
    <row r="106" spans="1:4" ht="20.25" x14ac:dyDescent="0.25">
      <c r="A106" s="104"/>
      <c r="B106" s="23"/>
      <c r="C106" s="34"/>
      <c r="D106" s="34"/>
    </row>
    <row r="107" spans="1:4" ht="20.25" x14ac:dyDescent="0.25">
      <c r="A107" s="104"/>
      <c r="B107" s="23"/>
      <c r="C107" s="34"/>
      <c r="D107" s="34"/>
    </row>
    <row r="108" spans="1:4" ht="20.25" x14ac:dyDescent="0.25">
      <c r="A108" s="104"/>
      <c r="B108" s="23"/>
      <c r="C108" s="34"/>
      <c r="D108" s="34"/>
    </row>
    <row r="109" spans="1:4" ht="20.25" x14ac:dyDescent="0.25">
      <c r="A109" s="104"/>
      <c r="B109" s="23"/>
      <c r="C109" s="34"/>
      <c r="D109" s="34"/>
    </row>
    <row r="110" spans="1:4" ht="20.25" x14ac:dyDescent="0.25">
      <c r="A110" s="104"/>
      <c r="B110" s="23"/>
      <c r="C110" s="34"/>
      <c r="D110" s="34"/>
    </row>
    <row r="111" spans="1:4" ht="20.25" x14ac:dyDescent="0.25">
      <c r="A111" s="104"/>
      <c r="B111" s="23"/>
      <c r="C111" s="34"/>
      <c r="D111" s="34"/>
    </row>
    <row r="112" spans="1:4" ht="20.25" x14ac:dyDescent="0.25">
      <c r="A112" s="104"/>
      <c r="B112" s="23"/>
      <c r="C112" s="34"/>
      <c r="D112" s="34"/>
    </row>
    <row r="113" spans="1:4" ht="20.25" x14ac:dyDescent="0.25">
      <c r="A113" s="104"/>
      <c r="B113" s="23"/>
      <c r="C113" s="34"/>
      <c r="D113" s="34"/>
    </row>
    <row r="114" spans="1:4" ht="20.25" x14ac:dyDescent="0.25">
      <c r="A114" s="104"/>
      <c r="B114" s="23"/>
      <c r="C114" s="34"/>
      <c r="D114" s="34"/>
    </row>
    <row r="115" spans="1:4" ht="20.25" x14ac:dyDescent="0.25">
      <c r="A115" s="104"/>
      <c r="B115" s="23"/>
      <c r="C115" s="34"/>
      <c r="D115" s="34"/>
    </row>
    <row r="116" spans="1:4" ht="20.25" x14ac:dyDescent="0.25">
      <c r="A116" s="104"/>
      <c r="B116" s="23"/>
      <c r="C116" s="34"/>
      <c r="D116" s="34"/>
    </row>
    <row r="117" spans="1:4" ht="20.25" x14ac:dyDescent="0.25">
      <c r="A117" s="104"/>
      <c r="B117" s="23"/>
      <c r="C117" s="34"/>
      <c r="D117" s="34"/>
    </row>
    <row r="118" spans="1:4" ht="20.25" x14ac:dyDescent="0.25">
      <c r="A118" s="104"/>
      <c r="B118" s="23"/>
      <c r="C118" s="34"/>
      <c r="D118" s="34"/>
    </row>
    <row r="119" spans="1:4" ht="20.25" x14ac:dyDescent="0.25">
      <c r="A119" s="104"/>
      <c r="B119" s="23"/>
      <c r="C119" s="34"/>
      <c r="D119" s="34"/>
    </row>
    <row r="120" spans="1:4" ht="20.25" x14ac:dyDescent="0.25">
      <c r="A120" s="104"/>
      <c r="B120" s="23"/>
      <c r="C120" s="34"/>
      <c r="D120" s="34"/>
    </row>
    <row r="121" spans="1:4" ht="20.25" x14ac:dyDescent="0.25">
      <c r="A121" s="104"/>
      <c r="B121" s="23"/>
      <c r="C121" s="34"/>
      <c r="D121" s="34"/>
    </row>
    <row r="122" spans="1:4" ht="20.25" x14ac:dyDescent="0.25">
      <c r="A122" s="104"/>
      <c r="B122" s="23"/>
      <c r="C122" s="34"/>
      <c r="D122" s="34"/>
    </row>
    <row r="123" spans="1:4" ht="20.25" x14ac:dyDescent="0.25">
      <c r="A123" s="104"/>
      <c r="B123" s="23"/>
      <c r="C123" s="34"/>
      <c r="D123" s="34"/>
    </row>
    <row r="124" spans="1:4" ht="20.25" x14ac:dyDescent="0.25">
      <c r="A124" s="104"/>
      <c r="B124" s="23"/>
      <c r="C124" s="34"/>
      <c r="D124" s="34"/>
    </row>
    <row r="125" spans="1:4" ht="20.25" x14ac:dyDescent="0.25">
      <c r="A125" s="104"/>
      <c r="B125" s="23"/>
      <c r="C125" s="34"/>
      <c r="D125" s="34"/>
    </row>
    <row r="126" spans="1:4" ht="20.25" x14ac:dyDescent="0.25">
      <c r="A126" s="104"/>
      <c r="B126" s="23"/>
      <c r="C126" s="34"/>
      <c r="D126" s="34"/>
    </row>
    <row r="127" spans="1:4" ht="20.25" x14ac:dyDescent="0.25">
      <c r="A127" s="104"/>
      <c r="B127" s="23"/>
      <c r="C127" s="34"/>
      <c r="D127" s="34"/>
    </row>
    <row r="128" spans="1:4" ht="20.25" x14ac:dyDescent="0.25">
      <c r="A128" s="104"/>
      <c r="B128" s="23"/>
      <c r="C128" s="34"/>
      <c r="D128" s="34"/>
    </row>
    <row r="129" spans="1:4" ht="20.25" x14ac:dyDescent="0.25">
      <c r="A129" s="104"/>
      <c r="B129" s="23"/>
      <c r="C129" s="34"/>
      <c r="D129" s="34"/>
    </row>
    <row r="130" spans="1:4" ht="20.25" x14ac:dyDescent="0.25">
      <c r="A130" s="104"/>
      <c r="B130" s="23"/>
      <c r="C130" s="34"/>
      <c r="D130" s="34"/>
    </row>
    <row r="131" spans="1:4" ht="20.25" x14ac:dyDescent="0.25">
      <c r="A131" s="104"/>
      <c r="B131" s="23"/>
      <c r="C131" s="34"/>
      <c r="D131" s="34"/>
    </row>
    <row r="132" spans="1:4" ht="20.25" x14ac:dyDescent="0.25">
      <c r="A132" s="104"/>
      <c r="B132" s="23"/>
      <c r="C132" s="34"/>
      <c r="D132" s="34"/>
    </row>
    <row r="133" spans="1:4" ht="20.25" x14ac:dyDescent="0.25">
      <c r="A133" s="104"/>
      <c r="B133" s="23"/>
      <c r="C133" s="34"/>
      <c r="D133" s="34"/>
    </row>
    <row r="134" spans="1:4" ht="20.25" x14ac:dyDescent="0.25">
      <c r="A134" s="104"/>
      <c r="B134" s="23"/>
      <c r="C134" s="34"/>
      <c r="D134" s="34"/>
    </row>
    <row r="135" spans="1:4" ht="20.25" x14ac:dyDescent="0.25">
      <c r="A135" s="104"/>
      <c r="B135" s="23"/>
      <c r="C135" s="34"/>
      <c r="D135" s="34"/>
    </row>
    <row r="136" spans="1:4" ht="20.25" x14ac:dyDescent="0.25">
      <c r="A136" s="104"/>
      <c r="B136" s="23"/>
      <c r="C136" s="34"/>
      <c r="D136" s="34"/>
    </row>
    <row r="137" spans="1:4" ht="20.25" x14ac:dyDescent="0.25">
      <c r="A137" s="104"/>
      <c r="B137" s="23"/>
      <c r="C137" s="34"/>
      <c r="D137" s="34"/>
    </row>
    <row r="138" spans="1:4" ht="20.25" x14ac:dyDescent="0.25">
      <c r="A138" s="104"/>
      <c r="B138" s="23"/>
      <c r="C138" s="34"/>
      <c r="D138" s="34"/>
    </row>
    <row r="139" spans="1:4" ht="20.25" x14ac:dyDescent="0.25">
      <c r="A139" s="104"/>
      <c r="B139" s="23"/>
      <c r="C139" s="34"/>
      <c r="D139" s="34"/>
    </row>
    <row r="140" spans="1:4" ht="20.25" x14ac:dyDescent="0.25">
      <c r="A140" s="104"/>
      <c r="B140" s="23"/>
      <c r="C140" s="34"/>
      <c r="D140" s="34"/>
    </row>
    <row r="141" spans="1:4" ht="20.25" x14ac:dyDescent="0.25">
      <c r="A141" s="104"/>
      <c r="B141" s="23"/>
      <c r="C141" s="34"/>
      <c r="D141" s="34"/>
    </row>
    <row r="142" spans="1:4" ht="20.25" x14ac:dyDescent="0.25">
      <c r="A142" s="104"/>
      <c r="B142" s="23"/>
      <c r="C142" s="34"/>
      <c r="D142" s="34"/>
    </row>
    <row r="143" spans="1:4" ht="20.25" x14ac:dyDescent="0.25">
      <c r="A143" s="104"/>
      <c r="B143" s="23"/>
      <c r="C143" s="34"/>
      <c r="D143" s="34"/>
    </row>
    <row r="144" spans="1:4" ht="20.25" x14ac:dyDescent="0.25">
      <c r="A144" s="104"/>
      <c r="B144" s="23"/>
      <c r="C144" s="34"/>
      <c r="D144" s="34"/>
    </row>
    <row r="145" spans="1:4" ht="20.25" x14ac:dyDescent="0.25">
      <c r="A145" s="104"/>
      <c r="B145" s="23"/>
      <c r="C145" s="34"/>
      <c r="D145" s="34"/>
    </row>
    <row r="146" spans="1:4" ht="20.25" x14ac:dyDescent="0.25">
      <c r="A146" s="104"/>
      <c r="B146" s="23"/>
      <c r="C146" s="34"/>
      <c r="D146" s="34"/>
    </row>
    <row r="147" spans="1:4" ht="20.25" x14ac:dyDescent="0.25">
      <c r="A147" s="104"/>
      <c r="B147" s="23"/>
      <c r="C147" s="34"/>
      <c r="D147" s="34"/>
    </row>
    <row r="148" spans="1:4" ht="20.25" x14ac:dyDescent="0.25">
      <c r="A148" s="104"/>
      <c r="B148" s="23"/>
      <c r="C148" s="34"/>
      <c r="D148" s="34"/>
    </row>
    <row r="149" spans="1:4" ht="20.25" x14ac:dyDescent="0.25">
      <c r="A149" s="104"/>
      <c r="B149" s="23"/>
      <c r="C149" s="34"/>
      <c r="D149" s="34"/>
    </row>
    <row r="150" spans="1:4" ht="20.25" x14ac:dyDescent="0.25">
      <c r="A150" s="104"/>
      <c r="B150" s="23"/>
      <c r="C150" s="34"/>
      <c r="D150" s="34"/>
    </row>
    <row r="151" spans="1:4" ht="20.25" x14ac:dyDescent="0.25">
      <c r="A151" s="104"/>
      <c r="B151" s="23"/>
      <c r="C151" s="34"/>
      <c r="D151" s="34"/>
    </row>
    <row r="152" spans="1:4" ht="20.25" x14ac:dyDescent="0.25">
      <c r="A152" s="104"/>
      <c r="B152" s="23"/>
      <c r="C152" s="34"/>
      <c r="D152" s="34"/>
    </row>
    <row r="153" spans="1:4" ht="20.25" x14ac:dyDescent="0.25">
      <c r="A153" s="104"/>
      <c r="B153" s="23"/>
      <c r="C153" s="34"/>
      <c r="D153" s="34"/>
    </row>
    <row r="154" spans="1:4" ht="20.25" x14ac:dyDescent="0.25">
      <c r="A154" s="104"/>
      <c r="B154" s="23"/>
      <c r="C154" s="34"/>
      <c r="D154" s="34"/>
    </row>
    <row r="155" spans="1:4" ht="20.25" x14ac:dyDescent="0.25">
      <c r="A155" s="104"/>
      <c r="B155" s="23"/>
      <c r="C155" s="34"/>
      <c r="D155" s="34"/>
    </row>
    <row r="156" spans="1:4" ht="20.25" x14ac:dyDescent="0.25">
      <c r="A156" s="104"/>
      <c r="B156" s="23"/>
      <c r="C156" s="34"/>
      <c r="D156" s="34"/>
    </row>
    <row r="157" spans="1:4" ht="20.25" x14ac:dyDescent="0.25">
      <c r="A157" s="104"/>
      <c r="B157" s="23"/>
      <c r="C157" s="34"/>
      <c r="D157" s="34"/>
    </row>
    <row r="158" spans="1:4" ht="20.25" x14ac:dyDescent="0.25">
      <c r="A158" s="104"/>
      <c r="B158" s="23"/>
      <c r="C158" s="34"/>
      <c r="D158" s="34"/>
    </row>
    <row r="159" spans="1:4" ht="20.25" x14ac:dyDescent="0.25">
      <c r="A159" s="104"/>
      <c r="B159" s="23"/>
      <c r="C159" s="34"/>
      <c r="D159" s="34"/>
    </row>
    <row r="160" spans="1:4" ht="20.25" x14ac:dyDescent="0.25">
      <c r="A160" s="104"/>
      <c r="B160" s="23"/>
      <c r="C160" s="34"/>
      <c r="D160" s="34"/>
    </row>
    <row r="161" spans="1:4" ht="20.25" x14ac:dyDescent="0.25">
      <c r="A161" s="104"/>
      <c r="B161" s="23"/>
      <c r="C161" s="34"/>
      <c r="D161" s="34"/>
    </row>
    <row r="162" spans="1:4" ht="20.25" x14ac:dyDescent="0.25">
      <c r="A162" s="104"/>
      <c r="B162" s="23"/>
      <c r="C162" s="34"/>
      <c r="D162" s="34"/>
    </row>
    <row r="163" spans="1:4" ht="20.25" x14ac:dyDescent="0.25">
      <c r="A163" s="104"/>
      <c r="B163" s="23"/>
      <c r="C163" s="34"/>
      <c r="D163" s="34"/>
    </row>
    <row r="164" spans="1:4" ht="20.25" x14ac:dyDescent="0.25">
      <c r="A164" s="104"/>
      <c r="B164" s="23"/>
      <c r="C164" s="34"/>
      <c r="D164" s="34"/>
    </row>
    <row r="165" spans="1:4" ht="20.25" x14ac:dyDescent="0.25">
      <c r="A165" s="104"/>
      <c r="B165" s="23"/>
      <c r="C165" s="34"/>
      <c r="D165" s="34"/>
    </row>
    <row r="166" spans="1:4" ht="20.25" x14ac:dyDescent="0.25">
      <c r="A166" s="104"/>
      <c r="B166" s="23"/>
      <c r="C166" s="34"/>
      <c r="D166" s="34"/>
    </row>
    <row r="167" spans="1:4" ht="20.25" x14ac:dyDescent="0.25">
      <c r="A167" s="104"/>
      <c r="B167" s="23"/>
      <c r="C167" s="34"/>
      <c r="D167" s="34"/>
    </row>
    <row r="168" spans="1:4" ht="20.25" x14ac:dyDescent="0.25">
      <c r="A168" s="104"/>
      <c r="B168" s="23"/>
      <c r="C168" s="34"/>
      <c r="D168" s="34"/>
    </row>
    <row r="169" spans="1:4" ht="20.25" x14ac:dyDescent="0.25">
      <c r="A169" s="104"/>
      <c r="B169" s="23"/>
      <c r="C169" s="34"/>
      <c r="D169" s="34"/>
    </row>
    <row r="170" spans="1:4" ht="20.25" x14ac:dyDescent="0.25">
      <c r="A170" s="104"/>
      <c r="B170" s="23"/>
      <c r="C170" s="34"/>
      <c r="D170" s="34"/>
    </row>
    <row r="171" spans="1:4" ht="20.25" x14ac:dyDescent="0.25">
      <c r="A171" s="104"/>
      <c r="B171" s="23"/>
      <c r="C171" s="34"/>
      <c r="D171" s="34"/>
    </row>
    <row r="172" spans="1:4" ht="20.25" x14ac:dyDescent="0.25">
      <c r="A172" s="104"/>
      <c r="B172" s="23"/>
      <c r="C172" s="34"/>
      <c r="D172" s="34"/>
    </row>
    <row r="173" spans="1:4" ht="20.25" x14ac:dyDescent="0.25">
      <c r="A173" s="104"/>
      <c r="B173" s="23"/>
      <c r="C173" s="34"/>
      <c r="D173" s="34"/>
    </row>
    <row r="174" spans="1:4" ht="20.25" x14ac:dyDescent="0.25">
      <c r="A174" s="104"/>
      <c r="B174" s="23"/>
      <c r="C174" s="34"/>
      <c r="D174" s="34"/>
    </row>
    <row r="175" spans="1:4" ht="20.25" x14ac:dyDescent="0.25">
      <c r="A175" s="104"/>
      <c r="B175" s="23"/>
      <c r="C175" s="34"/>
      <c r="D175" s="34"/>
    </row>
    <row r="176" spans="1:4" ht="20.25" x14ac:dyDescent="0.25">
      <c r="A176" s="104"/>
      <c r="B176" s="23"/>
      <c r="C176" s="34"/>
      <c r="D176" s="34"/>
    </row>
    <row r="177" spans="1:4" ht="20.25" x14ac:dyDescent="0.25">
      <c r="A177" s="104"/>
      <c r="B177" s="23"/>
      <c r="C177" s="34"/>
      <c r="D177" s="34"/>
    </row>
    <row r="178" spans="1:4" ht="20.25" x14ac:dyDescent="0.25">
      <c r="A178" s="104"/>
      <c r="B178" s="23"/>
      <c r="C178" s="34"/>
      <c r="D178" s="34"/>
    </row>
    <row r="179" spans="1:4" ht="20.25" x14ac:dyDescent="0.25">
      <c r="A179" s="104"/>
      <c r="B179" s="23"/>
      <c r="C179" s="34"/>
      <c r="D179" s="34"/>
    </row>
    <row r="180" spans="1:4" ht="20.25" x14ac:dyDescent="0.25">
      <c r="A180" s="104"/>
      <c r="B180" s="23"/>
      <c r="C180" s="34"/>
      <c r="D180" s="34"/>
    </row>
    <row r="181" spans="1:4" ht="20.25" x14ac:dyDescent="0.25">
      <c r="A181" s="104"/>
      <c r="B181" s="23"/>
      <c r="C181" s="34"/>
      <c r="D181" s="34"/>
    </row>
    <row r="182" spans="1:4" ht="20.25" x14ac:dyDescent="0.25">
      <c r="A182" s="104"/>
      <c r="B182" s="23"/>
      <c r="C182" s="34"/>
      <c r="D182" s="34"/>
    </row>
    <row r="183" spans="1:4" ht="20.25" x14ac:dyDescent="0.25">
      <c r="A183" s="104"/>
      <c r="B183" s="23"/>
      <c r="C183" s="34"/>
      <c r="D183" s="34"/>
    </row>
    <row r="184" spans="1:4" ht="20.25" x14ac:dyDescent="0.25">
      <c r="A184" s="104"/>
      <c r="B184" s="23"/>
      <c r="C184" s="34"/>
      <c r="D184" s="34"/>
    </row>
    <row r="185" spans="1:4" ht="20.25" x14ac:dyDescent="0.25">
      <c r="A185" s="104"/>
      <c r="B185" s="23"/>
      <c r="C185" s="34"/>
      <c r="D185" s="34"/>
    </row>
    <row r="186" spans="1:4" ht="20.25" x14ac:dyDescent="0.25">
      <c r="A186" s="104"/>
      <c r="B186" s="23"/>
      <c r="C186" s="34"/>
      <c r="D186" s="34"/>
    </row>
    <row r="187" spans="1:4" ht="20.25" x14ac:dyDescent="0.25">
      <c r="A187" s="104"/>
      <c r="B187" s="23"/>
      <c r="C187" s="34"/>
      <c r="D187" s="34"/>
    </row>
    <row r="188" spans="1:4" ht="20.25" x14ac:dyDescent="0.25">
      <c r="A188" s="104"/>
      <c r="B188" s="23"/>
      <c r="C188" s="34"/>
      <c r="D188" s="34"/>
    </row>
    <row r="189" spans="1:4" ht="20.25" x14ac:dyDescent="0.25">
      <c r="A189" s="104"/>
      <c r="B189" s="23"/>
      <c r="C189" s="34"/>
      <c r="D189" s="34"/>
    </row>
    <row r="190" spans="1:4" ht="20.25" x14ac:dyDescent="0.25">
      <c r="A190" s="104"/>
      <c r="B190" s="23"/>
      <c r="C190" s="34"/>
      <c r="D190" s="34"/>
    </row>
    <row r="191" spans="1:4" ht="20.25" x14ac:dyDescent="0.25">
      <c r="A191" s="104"/>
      <c r="B191" s="23"/>
      <c r="C191" s="34"/>
      <c r="D191" s="34"/>
    </row>
    <row r="192" spans="1:4" ht="20.25" x14ac:dyDescent="0.25">
      <c r="A192" s="104"/>
      <c r="B192" s="23"/>
      <c r="C192" s="34"/>
      <c r="D192" s="34"/>
    </row>
    <row r="193" spans="1:4" ht="20.25" x14ac:dyDescent="0.25">
      <c r="A193" s="104"/>
      <c r="B193" s="23"/>
      <c r="C193" s="34"/>
      <c r="D193" s="34"/>
    </row>
    <row r="194" spans="1:4" ht="20.25" x14ac:dyDescent="0.25">
      <c r="A194" s="104"/>
      <c r="B194" s="23"/>
      <c r="C194" s="34"/>
      <c r="D194" s="34"/>
    </row>
    <row r="195" spans="1:4" ht="20.25" x14ac:dyDescent="0.25">
      <c r="A195" s="104"/>
      <c r="B195" s="23"/>
      <c r="C195" s="34"/>
      <c r="D195" s="34"/>
    </row>
    <row r="196" spans="1:4" ht="20.25" x14ac:dyDescent="0.25">
      <c r="A196" s="104"/>
      <c r="B196" s="23"/>
      <c r="C196" s="34"/>
      <c r="D196" s="34"/>
    </row>
    <row r="197" spans="1:4" ht="20.25" x14ac:dyDescent="0.25">
      <c r="A197" s="104"/>
      <c r="B197" s="23"/>
      <c r="C197" s="34"/>
      <c r="D197" s="34"/>
    </row>
    <row r="198" spans="1:4" ht="20.25" x14ac:dyDescent="0.25">
      <c r="A198" s="104"/>
      <c r="B198" s="23"/>
      <c r="C198" s="34"/>
      <c r="D198" s="34"/>
    </row>
    <row r="199" spans="1:4" ht="20.25" x14ac:dyDescent="0.25">
      <c r="A199" s="104"/>
      <c r="B199" s="23"/>
      <c r="C199" s="34"/>
      <c r="D199" s="34"/>
    </row>
    <row r="200" spans="1:4" ht="20.25" x14ac:dyDescent="0.25">
      <c r="A200" s="104"/>
      <c r="B200" s="23"/>
      <c r="C200" s="34"/>
      <c r="D200" s="34"/>
    </row>
    <row r="201" spans="1:4" ht="20.25" x14ac:dyDescent="0.25">
      <c r="A201" s="104"/>
      <c r="B201" s="23"/>
      <c r="C201" s="34"/>
      <c r="D201" s="34"/>
    </row>
    <row r="202" spans="1:4" ht="20.25" x14ac:dyDescent="0.25">
      <c r="A202" s="104"/>
      <c r="B202" s="23"/>
      <c r="C202" s="34"/>
      <c r="D202" s="34"/>
    </row>
    <row r="203" spans="1:4" ht="20.25" x14ac:dyDescent="0.25">
      <c r="A203" s="104"/>
      <c r="B203" s="23"/>
      <c r="C203" s="34"/>
      <c r="D203" s="34"/>
    </row>
    <row r="204" spans="1:4" ht="20.25" x14ac:dyDescent="0.25">
      <c r="A204" s="104"/>
      <c r="B204" s="23"/>
      <c r="C204" s="34"/>
      <c r="D204" s="34"/>
    </row>
    <row r="205" spans="1:4" ht="20.25" x14ac:dyDescent="0.25">
      <c r="A205" s="104"/>
      <c r="B205" s="23"/>
      <c r="C205" s="34"/>
      <c r="D205" s="34"/>
    </row>
    <row r="206" spans="1:4" ht="20.25" x14ac:dyDescent="0.25">
      <c r="A206" s="104"/>
      <c r="B206" s="23"/>
      <c r="C206" s="34"/>
      <c r="D206" s="34"/>
    </row>
    <row r="207" spans="1:4" ht="20.25" x14ac:dyDescent="0.25">
      <c r="A207" s="104"/>
      <c r="B207" s="23"/>
      <c r="C207" s="34"/>
      <c r="D207" s="34"/>
    </row>
    <row r="208" spans="1:4" x14ac:dyDescent="0.25">
      <c r="A208" s="84"/>
      <c r="B208" s="23"/>
      <c r="C208" s="23"/>
      <c r="D208" s="23"/>
    </row>
    <row r="209" spans="1:8" ht="20.25" x14ac:dyDescent="0.25">
      <c r="A209" s="84"/>
      <c r="B209" s="30" t="s">
        <v>88</v>
      </c>
      <c r="C209" s="30" t="s">
        <v>145</v>
      </c>
      <c r="D209" s="33" t="s">
        <v>88</v>
      </c>
      <c r="E209" s="33" t="s">
        <v>145</v>
      </c>
    </row>
    <row r="210" spans="1:8" ht="21" x14ac:dyDescent="0.35">
      <c r="A210" s="84"/>
      <c r="B210" s="31" t="s">
        <v>90</v>
      </c>
      <c r="C210" s="31" t="s">
        <v>58</v>
      </c>
      <c r="D210" t="s">
        <v>90</v>
      </c>
      <c r="F210" t="str">
        <f>IF(NOT(ISBLANK(D210)),D210,IF(NOT(ISBLANK(E210)),"     "&amp;E210,FALSE))</f>
        <v>Afectación Económica o presupuestal</v>
      </c>
      <c r="G210" t="s">
        <v>90</v>
      </c>
      <c r="H210" t="str">
        <f>IF(NOT(ISERROR(MATCH(G210,_xlfn.ANCHORARRAY(B221),0))),F223&amp;"Por favor no seleccionar los criterios de impacto",G210)</f>
        <v>❌Por favor no seleccionar los criterios de impacto</v>
      </c>
    </row>
    <row r="211" spans="1:8" ht="21" x14ac:dyDescent="0.35">
      <c r="A211" s="84"/>
      <c r="B211" s="31" t="s">
        <v>90</v>
      </c>
      <c r="C211" s="31" t="s">
        <v>93</v>
      </c>
      <c r="E211" t="s">
        <v>58</v>
      </c>
      <c r="F211" t="str">
        <f t="shared" ref="F211:F221" si="0">IF(NOT(ISBLANK(D211)),D211,IF(NOT(ISBLANK(E211)),"     "&amp;E211,FALSE))</f>
        <v xml:space="preserve">     Afectación menor a 10 SMLMV .</v>
      </c>
    </row>
    <row r="212" spans="1:8" ht="21" x14ac:dyDescent="0.35">
      <c r="A212" s="84"/>
      <c r="B212" s="31" t="s">
        <v>90</v>
      </c>
      <c r="C212" s="31" t="s">
        <v>94</v>
      </c>
      <c r="E212" t="s">
        <v>93</v>
      </c>
      <c r="F212" t="str">
        <f t="shared" si="0"/>
        <v xml:space="preserve">     Entre 10 y 50 SMLMV </v>
      </c>
    </row>
    <row r="213" spans="1:8" ht="21" x14ac:dyDescent="0.35">
      <c r="A213" s="84"/>
      <c r="B213" s="31" t="s">
        <v>90</v>
      </c>
      <c r="C213" s="31" t="s">
        <v>95</v>
      </c>
      <c r="E213" t="s">
        <v>94</v>
      </c>
      <c r="F213" t="str">
        <f t="shared" si="0"/>
        <v xml:space="preserve">     Entre 50 y 100 SMLMV </v>
      </c>
    </row>
    <row r="214" spans="1:8" ht="21" x14ac:dyDescent="0.35">
      <c r="A214" s="84"/>
      <c r="B214" s="31" t="s">
        <v>90</v>
      </c>
      <c r="C214" s="31" t="s">
        <v>96</v>
      </c>
      <c r="E214" t="s">
        <v>95</v>
      </c>
      <c r="F214" t="str">
        <f t="shared" si="0"/>
        <v xml:space="preserve">     Entre 100 y 500 SMLMV </v>
      </c>
    </row>
    <row r="215" spans="1:8" ht="21" x14ac:dyDescent="0.35">
      <c r="A215" s="84"/>
      <c r="B215" s="31" t="s">
        <v>57</v>
      </c>
      <c r="C215" s="31" t="s">
        <v>97</v>
      </c>
      <c r="E215" t="s">
        <v>96</v>
      </c>
      <c r="F215" t="str">
        <f t="shared" si="0"/>
        <v xml:space="preserve">     Mayor a 500 SMLMV </v>
      </c>
    </row>
    <row r="216" spans="1:8" ht="21" x14ac:dyDescent="0.35">
      <c r="A216" s="84"/>
      <c r="B216" s="31" t="s">
        <v>57</v>
      </c>
      <c r="C216" s="31" t="s">
        <v>98</v>
      </c>
      <c r="D216" t="s">
        <v>57</v>
      </c>
      <c r="F216" t="str">
        <f t="shared" si="0"/>
        <v>Pérdida Reputacional</v>
      </c>
    </row>
    <row r="217" spans="1:8" ht="21" x14ac:dyDescent="0.35">
      <c r="A217" s="84"/>
      <c r="B217" s="31" t="s">
        <v>57</v>
      </c>
      <c r="C217" s="31" t="s">
        <v>100</v>
      </c>
      <c r="E217" t="s">
        <v>97</v>
      </c>
      <c r="F217" t="str">
        <f t="shared" si="0"/>
        <v xml:space="preserve">     El riesgo afecta la imagen de alguna área de la organización</v>
      </c>
    </row>
    <row r="218" spans="1:8" ht="21" x14ac:dyDescent="0.35">
      <c r="A218" s="84"/>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4"/>
      <c r="B219" s="31" t="s">
        <v>57</v>
      </c>
      <c r="C219" s="31" t="s">
        <v>118</v>
      </c>
      <c r="E219" t="s">
        <v>100</v>
      </c>
      <c r="F219" t="str">
        <f t="shared" si="0"/>
        <v xml:space="preserve">     El riesgo afecta la imagen de la entidad con algunos usuarios de relevancia frente al logro de los objetivos</v>
      </c>
    </row>
    <row r="220" spans="1:8" x14ac:dyDescent="0.25">
      <c r="A220" s="84"/>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4"/>
      <c r="B221" s="32" t="str" cm="1">
        <f t="array" ref="B221:B223">_xlfn.UNIQUE(Tabla1[[#All],[Criterios]])</f>
        <v>Criterios</v>
      </c>
      <c r="C221" s="32"/>
      <c r="E221" t="s">
        <v>118</v>
      </c>
      <c r="F221" t="str">
        <f t="shared" si="0"/>
        <v xml:space="preserve">     El riesgo afecta la imagen de la entidad a nivel nacional, con efecto publicitarios sostenible a nivel país</v>
      </c>
    </row>
    <row r="222" spans="1:8" x14ac:dyDescent="0.25">
      <c r="A222" s="84"/>
      <c r="B222" s="32" t="str">
        <v>Afectación Económica o presupuestal</v>
      </c>
      <c r="C222" s="32"/>
    </row>
    <row r="223" spans="1:8" x14ac:dyDescent="0.25">
      <c r="B223" s="32" t="str">
        <v>Pérdida Reputacional</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heetViews>
  <sheetFormatPr baseColWidth="10" defaultColWidth="14.28515625" defaultRowHeight="12.75" x14ac:dyDescent="0.2"/>
  <cols>
    <col min="1" max="2" width="14.28515625" style="89"/>
    <col min="3" max="3" width="17" style="89" customWidth="1"/>
    <col min="4" max="4" width="14.28515625" style="89"/>
    <col min="5" max="5" width="46" style="89" customWidth="1"/>
    <col min="6" max="16384" width="14.28515625" style="89"/>
  </cols>
  <sheetData>
    <row r="1" spans="2:6" ht="24" customHeight="1" thickBot="1" x14ac:dyDescent="0.25">
      <c r="B1" s="435" t="s">
        <v>78</v>
      </c>
      <c r="C1" s="436"/>
      <c r="D1" s="436"/>
      <c r="E1" s="436"/>
      <c r="F1" s="437"/>
    </row>
    <row r="2" spans="2:6" ht="16.5" thickBot="1" x14ac:dyDescent="0.3">
      <c r="B2" s="90"/>
      <c r="C2" s="90"/>
      <c r="D2" s="90"/>
      <c r="E2" s="90"/>
      <c r="F2" s="90"/>
    </row>
    <row r="3" spans="2:6" ht="16.5" thickBot="1" x14ac:dyDescent="0.25">
      <c r="B3" s="439" t="s">
        <v>64</v>
      </c>
      <c r="C3" s="440"/>
      <c r="D3" s="440"/>
      <c r="E3" s="102" t="s">
        <v>65</v>
      </c>
      <c r="F3" s="103" t="s">
        <v>66</v>
      </c>
    </row>
    <row r="4" spans="2:6" ht="31.5" x14ac:dyDescent="0.2">
      <c r="B4" s="441" t="s">
        <v>67</v>
      </c>
      <c r="C4" s="443" t="s">
        <v>13</v>
      </c>
      <c r="D4" s="91" t="s">
        <v>14</v>
      </c>
      <c r="E4" s="92" t="s">
        <v>68</v>
      </c>
      <c r="F4" s="93">
        <v>0.25</v>
      </c>
    </row>
    <row r="5" spans="2:6" ht="47.25" x14ac:dyDescent="0.2">
      <c r="B5" s="442"/>
      <c r="C5" s="444"/>
      <c r="D5" s="94" t="s">
        <v>15</v>
      </c>
      <c r="E5" s="95" t="s">
        <v>69</v>
      </c>
      <c r="F5" s="96">
        <v>0.15</v>
      </c>
    </row>
    <row r="6" spans="2:6" ht="47.25" x14ac:dyDescent="0.2">
      <c r="B6" s="442"/>
      <c r="C6" s="444"/>
      <c r="D6" s="94" t="s">
        <v>16</v>
      </c>
      <c r="E6" s="95" t="s">
        <v>70</v>
      </c>
      <c r="F6" s="96">
        <v>0.1</v>
      </c>
    </row>
    <row r="7" spans="2:6" ht="63" x14ac:dyDescent="0.2">
      <c r="B7" s="442"/>
      <c r="C7" s="444" t="s">
        <v>17</v>
      </c>
      <c r="D7" s="94" t="s">
        <v>10</v>
      </c>
      <c r="E7" s="95" t="s">
        <v>71</v>
      </c>
      <c r="F7" s="96">
        <v>0.25</v>
      </c>
    </row>
    <row r="8" spans="2:6" ht="31.5" x14ac:dyDescent="0.2">
      <c r="B8" s="442"/>
      <c r="C8" s="444"/>
      <c r="D8" s="94" t="s">
        <v>9</v>
      </c>
      <c r="E8" s="95" t="s">
        <v>72</v>
      </c>
      <c r="F8" s="96">
        <v>0.15</v>
      </c>
    </row>
    <row r="9" spans="2:6" ht="47.25" x14ac:dyDescent="0.2">
      <c r="B9" s="442" t="s">
        <v>162</v>
      </c>
      <c r="C9" s="444" t="s">
        <v>18</v>
      </c>
      <c r="D9" s="94" t="s">
        <v>19</v>
      </c>
      <c r="E9" s="95" t="s">
        <v>73</v>
      </c>
      <c r="F9" s="97" t="s">
        <v>74</v>
      </c>
    </row>
    <row r="10" spans="2:6" ht="63" x14ac:dyDescent="0.2">
      <c r="B10" s="442"/>
      <c r="C10" s="444"/>
      <c r="D10" s="94" t="s">
        <v>20</v>
      </c>
      <c r="E10" s="95" t="s">
        <v>75</v>
      </c>
      <c r="F10" s="97" t="s">
        <v>74</v>
      </c>
    </row>
    <row r="11" spans="2:6" ht="47.25" x14ac:dyDescent="0.2">
      <c r="B11" s="442"/>
      <c r="C11" s="444" t="s">
        <v>21</v>
      </c>
      <c r="D11" s="94" t="s">
        <v>22</v>
      </c>
      <c r="E11" s="95" t="s">
        <v>76</v>
      </c>
      <c r="F11" s="97" t="s">
        <v>74</v>
      </c>
    </row>
    <row r="12" spans="2:6" ht="47.25" x14ac:dyDescent="0.2">
      <c r="B12" s="442"/>
      <c r="C12" s="444"/>
      <c r="D12" s="94" t="s">
        <v>23</v>
      </c>
      <c r="E12" s="95" t="s">
        <v>77</v>
      </c>
      <c r="F12" s="97" t="s">
        <v>74</v>
      </c>
    </row>
    <row r="13" spans="2:6" ht="31.5" x14ac:dyDescent="0.2">
      <c r="B13" s="442"/>
      <c r="C13" s="444" t="s">
        <v>24</v>
      </c>
      <c r="D13" s="94" t="s">
        <v>119</v>
      </c>
      <c r="E13" s="95" t="s">
        <v>122</v>
      </c>
      <c r="F13" s="97" t="s">
        <v>74</v>
      </c>
    </row>
    <row r="14" spans="2:6" ht="32.25" thickBot="1" x14ac:dyDescent="0.25">
      <c r="B14" s="445"/>
      <c r="C14" s="446"/>
      <c r="D14" s="98" t="s">
        <v>120</v>
      </c>
      <c r="E14" s="99" t="s">
        <v>121</v>
      </c>
      <c r="F14" s="100" t="s">
        <v>74</v>
      </c>
    </row>
    <row r="15" spans="2:6" ht="49.5" customHeight="1" x14ac:dyDescent="0.2">
      <c r="B15" s="438" t="s">
        <v>159</v>
      </c>
      <c r="C15" s="438"/>
      <c r="D15" s="438"/>
      <c r="E15" s="438"/>
      <c r="F15" s="438"/>
    </row>
    <row r="16" spans="2:6" ht="27" customHeight="1" x14ac:dyDescent="0.25">
      <c r="B16" s="10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EDAT_2023</cp:lastModifiedBy>
  <cp:lastPrinted>2020-05-13T01:12:22Z</cp:lastPrinted>
  <dcterms:created xsi:type="dcterms:W3CDTF">2020-03-24T23:12:47Z</dcterms:created>
  <dcterms:modified xsi:type="dcterms:W3CDTF">2025-07-21T16:19:49Z</dcterms:modified>
</cp:coreProperties>
</file>