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D:\Desktop\EQUIPO MIPG 2025\mapa de riegos 2025\"/>
    </mc:Choice>
  </mc:AlternateContent>
  <xr:revisionPtr revIDLastSave="0" documentId="13_ncr:1_{7090DF51-BA15-44E0-B020-051E1300051E}" xr6:coauthVersionLast="47" xr6:coauthVersionMax="47" xr10:uidLastSave="{00000000-0000-0000-0000-000000000000}"/>
  <bookViews>
    <workbookView xWindow="-120" yWindow="-120" windowWidth="29040" windowHeight="15840"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12" i="1" l="1"/>
  <c r="I10" i="1" l="1"/>
  <c r="K34" i="1"/>
  <c r="K18" i="1"/>
  <c r="K46" i="1"/>
  <c r="K36" i="1"/>
  <c r="K20" i="1"/>
  <c r="K17" i="1"/>
  <c r="K16" i="1"/>
  <c r="K54" i="1"/>
  <c r="K41" i="1"/>
  <c r="K32" i="1"/>
  <c r="K28" i="1"/>
  <c r="K47" i="1"/>
  <c r="K26" i="1"/>
  <c r="K40" i="1"/>
  <c r="K24" i="1"/>
  <c r="K29" i="1"/>
  <c r="K22" i="1"/>
  <c r="K30" i="1"/>
  <c r="K44" i="1"/>
  <c r="K48" i="1"/>
  <c r="K39" i="1"/>
  <c r="K45" i="1"/>
  <c r="K50" i="1"/>
  <c r="K23" i="1"/>
  <c r="K35" i="1"/>
  <c r="K27" i="1"/>
  <c r="K38" i="1"/>
  <c r="K51" i="1"/>
  <c r="K33" i="1"/>
  <c r="K14" i="1"/>
  <c r="K15" i="1"/>
  <c r="K53" i="1"/>
  <c r="K52" i="1"/>
  <c r="K42" i="1"/>
  <c r="K21" i="1"/>
  <c r="F221" i="13" l="1"/>
  <c r="F211" i="13"/>
  <c r="F212" i="13"/>
  <c r="F213" i="13"/>
  <c r="F214" i="13"/>
  <c r="F215" i="13"/>
  <c r="F216" i="13"/>
  <c r="F217" i="13"/>
  <c r="F218" i="13"/>
  <c r="F219" i="13"/>
  <c r="F220" i="13"/>
  <c r="F210" i="13"/>
  <c r="B221" i="13" a="1"/>
  <c r="B221" i="13" l="1"/>
  <c r="Q37" i="1"/>
  <c r="Q32" i="1"/>
  <c r="Q26"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4" i="1" l="1"/>
  <c r="Q54" i="1"/>
  <c r="T53" i="1"/>
  <c r="Q53" i="1"/>
  <c r="T52" i="1"/>
  <c r="Q52" i="1"/>
  <c r="T51" i="1"/>
  <c r="Q51" i="1"/>
  <c r="T50" i="1"/>
  <c r="Q50" i="1"/>
  <c r="T49" i="1"/>
  <c r="Q49" i="1"/>
  <c r="AB50" i="1" s="1"/>
  <c r="H49" i="1"/>
  <c r="I49" i="1" s="1"/>
  <c r="T48" i="1"/>
  <c r="Q48" i="1"/>
  <c r="T47" i="1"/>
  <c r="Q47" i="1"/>
  <c r="T46" i="1"/>
  <c r="Q46" i="1"/>
  <c r="T45" i="1"/>
  <c r="Q45" i="1"/>
  <c r="T44" i="1"/>
  <c r="Q44" i="1"/>
  <c r="T43" i="1"/>
  <c r="Q43" i="1"/>
  <c r="H43" i="1"/>
  <c r="I43" i="1" s="1"/>
  <c r="T42" i="1"/>
  <c r="Q42" i="1"/>
  <c r="T41" i="1"/>
  <c r="Q41" i="1"/>
  <c r="T40" i="1"/>
  <c r="Q40" i="1"/>
  <c r="T39" i="1"/>
  <c r="Q39" i="1"/>
  <c r="T38" i="1"/>
  <c r="Q38" i="1"/>
  <c r="AB38" i="1" s="1"/>
  <c r="T37" i="1"/>
  <c r="H37" i="1"/>
  <c r="I37" i="1" s="1"/>
  <c r="T36" i="1"/>
  <c r="Q36" i="1"/>
  <c r="T35" i="1"/>
  <c r="Q35" i="1"/>
  <c r="T34" i="1"/>
  <c r="Q34" i="1"/>
  <c r="T33" i="1"/>
  <c r="Q33" i="1"/>
  <c r="T32" i="1"/>
  <c r="T31" i="1"/>
  <c r="Q31" i="1"/>
  <c r="AB32" i="1" s="1"/>
  <c r="H31" i="1"/>
  <c r="I31" i="1" s="1"/>
  <c r="T30" i="1"/>
  <c r="Q30" i="1"/>
  <c r="T29" i="1"/>
  <c r="Q29" i="1"/>
  <c r="T28" i="1"/>
  <c r="Q28" i="1"/>
  <c r="T27" i="1"/>
  <c r="Q27" i="1"/>
  <c r="T26" i="1"/>
  <c r="T25" i="1"/>
  <c r="Q25" i="1"/>
  <c r="AB26" i="1" s="1"/>
  <c r="H25" i="1"/>
  <c r="I25" i="1" s="1"/>
  <c r="T24" i="1"/>
  <c r="Q24" i="1"/>
  <c r="T23" i="1"/>
  <c r="Q23" i="1"/>
  <c r="T22" i="1"/>
  <c r="Q22" i="1"/>
  <c r="T21" i="1"/>
  <c r="Q21" i="1"/>
  <c r="T20" i="1"/>
  <c r="Q20" i="1"/>
  <c r="T19" i="1"/>
  <c r="Q19" i="1"/>
  <c r="H19" i="1"/>
  <c r="I19" i="1" s="1"/>
  <c r="T18" i="1"/>
  <c r="Q18" i="1"/>
  <c r="T17" i="1"/>
  <c r="Q17" i="1"/>
  <c r="T16" i="1"/>
  <c r="Q16" i="1"/>
  <c r="T15" i="1"/>
  <c r="Q15" i="1"/>
  <c r="T14" i="1"/>
  <c r="Q14" i="1"/>
  <c r="T13" i="1"/>
  <c r="Q13" i="1"/>
  <c r="H13" i="1"/>
  <c r="I13" i="1" s="1"/>
  <c r="T12" i="1"/>
  <c r="T11" i="1"/>
  <c r="AB14" i="1" l="1"/>
  <c r="AB20" i="1"/>
  <c r="AB44" i="1"/>
  <c r="AB35" i="1"/>
  <c r="AA35" i="1" s="1"/>
  <c r="AB36" i="1"/>
  <c r="AA36" i="1" s="1"/>
  <c r="I11" i="1"/>
  <c r="X11" i="1" s="1"/>
  <c r="X49" i="1"/>
  <c r="X43" i="1"/>
  <c r="X37" i="1"/>
  <c r="X31" i="1"/>
  <c r="X35" i="1"/>
  <c r="X36" i="1"/>
  <c r="X25" i="1"/>
  <c r="X19" i="1"/>
  <c r="X13" i="1"/>
  <c r="X12" i="1"/>
  <c r="Y49" i="1" l="1"/>
  <c r="Z49" i="1"/>
  <c r="X50" i="1" s="1"/>
  <c r="Y50" i="1" s="1"/>
  <c r="Y43" i="1"/>
  <c r="Z43" i="1"/>
  <c r="X44" i="1" s="1"/>
  <c r="Z44" i="1" s="1"/>
  <c r="X45" i="1" s="1"/>
  <c r="Y37" i="1"/>
  <c r="Z37" i="1"/>
  <c r="X38" i="1" s="1"/>
  <c r="Z38" i="1" s="1"/>
  <c r="X39" i="1" s="1"/>
  <c r="Y36" i="1"/>
  <c r="Z36" i="1"/>
  <c r="Y35" i="1"/>
  <c r="Z35" i="1"/>
  <c r="Y31" i="1"/>
  <c r="Z31" i="1"/>
  <c r="Y25" i="1"/>
  <c r="Z25" i="1"/>
  <c r="X26" i="1" s="1"/>
  <c r="Z26" i="1" s="1"/>
  <c r="X27" i="1" s="1"/>
  <c r="Y19" i="1"/>
  <c r="Z19" i="1"/>
  <c r="Y13" i="1"/>
  <c r="Z13" i="1"/>
  <c r="X14" i="1" s="1"/>
  <c r="Z14" i="1" s="1"/>
  <c r="X15" i="1" s="1"/>
  <c r="Y15" i="1" s="1"/>
  <c r="Y12" i="1"/>
  <c r="Z12" i="1"/>
  <c r="Y11" i="1"/>
  <c r="Z11" i="1"/>
  <c r="Y44" i="1" l="1"/>
  <c r="Y38" i="1"/>
  <c r="Y26" i="1"/>
  <c r="Y14" i="1"/>
  <c r="Y27" i="1"/>
  <c r="Z27" i="1"/>
  <c r="Z45" i="1"/>
  <c r="X46" i="1" s="1"/>
  <c r="Y45" i="1"/>
  <c r="Z39" i="1"/>
  <c r="X40" i="1" s="1"/>
  <c r="Y39" i="1"/>
  <c r="Z50" i="1"/>
  <c r="X51" i="1" s="1"/>
  <c r="X20" i="1"/>
  <c r="X32" i="1"/>
  <c r="X33" i="1"/>
  <c r="Z15"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35" i="1"/>
  <c r="AC36" i="1"/>
  <c r="Y46" i="1" l="1"/>
  <c r="Z46" i="1"/>
  <c r="Y40" i="1"/>
  <c r="Z40" i="1"/>
  <c r="X41" i="1" s="1"/>
  <c r="Y33" i="1"/>
  <c r="Z33" i="1"/>
  <c r="X34" i="1" s="1"/>
  <c r="Y51" i="1"/>
  <c r="Z51" i="1"/>
  <c r="X52" i="1" s="1"/>
  <c r="Y32" i="1"/>
  <c r="Z32" i="1"/>
  <c r="X28" i="1"/>
  <c r="Y20" i="1"/>
  <c r="Z20" i="1"/>
  <c r="X21" i="1" s="1"/>
  <c r="Y21" i="1" s="1"/>
  <c r="X17" i="1"/>
  <c r="Y17" i="1" s="1"/>
  <c r="X16" i="1"/>
  <c r="Z21" i="1" l="1"/>
  <c r="X22" i="1" s="1"/>
  <c r="Z22" i="1" s="1"/>
  <c r="X23" i="1" s="1"/>
  <c r="Y41" i="1"/>
  <c r="Z41" i="1"/>
  <c r="X42" i="1" s="1"/>
  <c r="X47" i="1"/>
  <c r="X48" i="1"/>
  <c r="Y28" i="1"/>
  <c r="Z28" i="1"/>
  <c r="X29" i="1" s="1"/>
  <c r="Y29" i="1" s="1"/>
  <c r="Y22" i="1"/>
  <c r="Y34" i="1"/>
  <c r="Z34" i="1"/>
  <c r="Z52" i="1"/>
  <c r="Y52" i="1"/>
  <c r="Y16" i="1"/>
  <c r="Z16" i="1"/>
  <c r="Z17" i="1"/>
  <c r="X18" i="1" s="1"/>
  <c r="Y48" i="1" l="1"/>
  <c r="Z48" i="1"/>
  <c r="Y47" i="1"/>
  <c r="Z47" i="1"/>
  <c r="Y42" i="1"/>
  <c r="Z42" i="1"/>
  <c r="X53" i="1"/>
  <c r="X54" i="1"/>
  <c r="Z29" i="1"/>
  <c r="X30" i="1" s="1"/>
  <c r="Y30" i="1" s="1"/>
  <c r="Z23" i="1"/>
  <c r="X24" i="1" s="1"/>
  <c r="Y23" i="1"/>
  <c r="Y18" i="1"/>
  <c r="Z18" i="1"/>
  <c r="X10" i="1"/>
  <c r="Y10" i="1" l="1"/>
  <c r="Z10" i="1"/>
  <c r="Y54" i="1"/>
  <c r="Z54" i="1"/>
  <c r="Y53" i="1"/>
  <c r="Z53" i="1"/>
  <c r="Y24" i="1"/>
  <c r="Z24" i="1"/>
  <c r="Z30" i="1"/>
  <c r="AB13" i="1" l="1"/>
  <c r="AA13" i="1" s="1"/>
  <c r="AB51" i="1"/>
  <c r="AB43" i="1"/>
  <c r="AB25" i="1"/>
  <c r="AA25" i="1" s="1"/>
  <c r="AB37" i="1"/>
  <c r="AA37" i="1" s="1"/>
  <c r="AB31" i="1"/>
  <c r="AA31" i="1" s="1"/>
  <c r="AB19" i="1"/>
  <c r="AA19" i="1" s="1"/>
  <c r="J40" i="19" l="1"/>
  <c r="V30" i="19"/>
  <c r="AH20" i="19"/>
  <c r="J30" i="19"/>
  <c r="V20" i="19"/>
  <c r="AH10" i="19"/>
  <c r="P10" i="19"/>
  <c r="AB50" i="19"/>
  <c r="J50" i="19"/>
  <c r="AB40" i="19"/>
  <c r="P30" i="19"/>
  <c r="V50" i="19"/>
  <c r="P50" i="19"/>
  <c r="AB10" i="19"/>
  <c r="AH30" i="19"/>
  <c r="AH40" i="19"/>
  <c r="J10" i="19"/>
  <c r="AB20" i="19"/>
  <c r="AH50" i="19"/>
  <c r="AC19" i="1"/>
  <c r="V10" i="19"/>
  <c r="P20" i="19"/>
  <c r="J20" i="19"/>
  <c r="P40" i="19"/>
  <c r="V40" i="19"/>
  <c r="AB30" i="19"/>
  <c r="J11" i="19"/>
  <c r="V11" i="19"/>
  <c r="AB21" i="19"/>
  <c r="P31" i="19"/>
  <c r="J31" i="19"/>
  <c r="AB41" i="19"/>
  <c r="AC25" i="1"/>
  <c r="AH41" i="19"/>
  <c r="P41" i="19"/>
  <c r="J21" i="19"/>
  <c r="AB31" i="19"/>
  <c r="AB51" i="19"/>
  <c r="P21" i="19"/>
  <c r="V41" i="19"/>
  <c r="V31" i="19"/>
  <c r="AH21" i="19"/>
  <c r="AB11" i="19"/>
  <c r="P51" i="19"/>
  <c r="V21" i="19"/>
  <c r="AH31" i="19"/>
  <c r="V51" i="19"/>
  <c r="J51" i="19"/>
  <c r="AH51" i="19"/>
  <c r="AH11" i="19"/>
  <c r="J41" i="19"/>
  <c r="P11" i="19"/>
  <c r="AC37"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43" i="1"/>
  <c r="AA50" i="1"/>
  <c r="AC13"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A51" i="1"/>
  <c r="AB52" i="1"/>
  <c r="AB21" i="1"/>
  <c r="AA20" i="1"/>
  <c r="AA26" i="1"/>
  <c r="AB27" i="1"/>
  <c r="AA27" i="1" s="1"/>
  <c r="AB28" i="1"/>
  <c r="V32" i="19"/>
  <c r="P42" i="19"/>
  <c r="J12" i="19"/>
  <c r="J32" i="19"/>
  <c r="AB52" i="19"/>
  <c r="AC31" i="1"/>
  <c r="J22" i="19"/>
  <c r="V22" i="19"/>
  <c r="J52" i="19"/>
  <c r="AH12" i="19"/>
  <c r="J42" i="19"/>
  <c r="AH42" i="19"/>
  <c r="P32" i="19"/>
  <c r="AB12" i="19"/>
  <c r="AH32" i="19"/>
  <c r="AB32" i="19"/>
  <c r="AB42" i="19"/>
  <c r="V42" i="19"/>
  <c r="V12" i="19"/>
  <c r="V52" i="19"/>
  <c r="AB22" i="19"/>
  <c r="AH52" i="19"/>
  <c r="AH22" i="19"/>
  <c r="P22" i="19"/>
  <c r="P12" i="19"/>
  <c r="P52" i="19"/>
  <c r="AB33" i="1"/>
  <c r="AA33" i="1" s="1"/>
  <c r="AB34" i="1"/>
  <c r="AA34" i="1" s="1"/>
  <c r="AA32" i="1"/>
  <c r="AA38" i="1"/>
  <c r="AB39" i="1"/>
  <c r="AA44" i="1"/>
  <c r="AB45" i="1"/>
  <c r="AA14" i="1"/>
  <c r="AB15"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52" i="1"/>
  <c r="AB53" i="1"/>
  <c r="K35" i="19"/>
  <c r="AC25" i="19"/>
  <c r="K45" i="19"/>
  <c r="AI45" i="19"/>
  <c r="W45" i="19"/>
  <c r="Q35" i="19"/>
  <c r="K55" i="19"/>
  <c r="AC15" i="19"/>
  <c r="Q15" i="19"/>
  <c r="AC35" i="19"/>
  <c r="AI35" i="19"/>
  <c r="Q55" i="19"/>
  <c r="AI25" i="19"/>
  <c r="AC50"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44"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26" i="1"/>
  <c r="AD55" i="19"/>
  <c r="R15" i="19"/>
  <c r="AJ35" i="19"/>
  <c r="AC51"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43"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33" i="1"/>
  <c r="AD12" i="19"/>
  <c r="AD32" i="19"/>
  <c r="AD22" i="19"/>
  <c r="X52" i="19"/>
  <c r="AD52" i="19"/>
  <c r="L42" i="19"/>
  <c r="R42" i="19"/>
  <c r="AJ21" i="19"/>
  <c r="AD31" i="19"/>
  <c r="R21" i="19"/>
  <c r="AD41" i="19"/>
  <c r="AJ11" i="19"/>
  <c r="AJ51" i="19"/>
  <c r="AC27" i="1"/>
  <c r="L41" i="19"/>
  <c r="AD11" i="19"/>
  <c r="L21" i="19"/>
  <c r="L11" i="19"/>
  <c r="X51" i="19"/>
  <c r="X21" i="19"/>
  <c r="R11" i="19"/>
  <c r="R31" i="19"/>
  <c r="AJ41" i="19"/>
  <c r="L31" i="19"/>
  <c r="R51" i="19"/>
  <c r="X31" i="19"/>
  <c r="X11" i="19"/>
  <c r="X41" i="19"/>
  <c r="AJ31" i="19"/>
  <c r="AD51" i="19"/>
  <c r="R41" i="19"/>
  <c r="AD21" i="19"/>
  <c r="L51" i="19"/>
  <c r="AA15" i="1"/>
  <c r="AB16" i="1"/>
  <c r="AA39" i="1"/>
  <c r="AB40" i="1"/>
  <c r="K42" i="19"/>
  <c r="AC32" i="19"/>
  <c r="W42" i="19"/>
  <c r="AI52" i="19"/>
  <c r="K22" i="19"/>
  <c r="Q32" i="19"/>
  <c r="AI12" i="19"/>
  <c r="AC52" i="19"/>
  <c r="Q42" i="19"/>
  <c r="AC42" i="19"/>
  <c r="K12" i="19"/>
  <c r="Q22" i="19"/>
  <c r="W52" i="19"/>
  <c r="AI42" i="19"/>
  <c r="W32" i="19"/>
  <c r="AI22" i="19"/>
  <c r="W12" i="19"/>
  <c r="AI32" i="19"/>
  <c r="AC12" i="19"/>
  <c r="Q12" i="19"/>
  <c r="Q52" i="19"/>
  <c r="AC32" i="1"/>
  <c r="K32" i="19"/>
  <c r="W22" i="19"/>
  <c r="K52" i="19"/>
  <c r="AC22" i="19"/>
  <c r="AC40" i="19"/>
  <c r="W10" i="19"/>
  <c r="AC50" i="19"/>
  <c r="Q10" i="19"/>
  <c r="Q30" i="19"/>
  <c r="W50" i="19"/>
  <c r="K40" i="19"/>
  <c r="Q50" i="19"/>
  <c r="W20" i="19"/>
  <c r="AC20"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45" i="1"/>
  <c r="AB46" i="1"/>
  <c r="K39" i="19"/>
  <c r="AC39" i="19"/>
  <c r="W29" i="19"/>
  <c r="AI49" i="19"/>
  <c r="W9" i="19"/>
  <c r="AC19" i="19"/>
  <c r="Q49" i="19"/>
  <c r="W49" i="19"/>
  <c r="AC9" i="19"/>
  <c r="AI9" i="19"/>
  <c r="Q29" i="19"/>
  <c r="W39" i="19"/>
  <c r="Q39" i="19"/>
  <c r="AC14"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38" i="1"/>
  <c r="Q33" i="19"/>
  <c r="AI23" i="19"/>
  <c r="K53" i="19"/>
  <c r="AC23" i="19"/>
  <c r="AC13" i="19"/>
  <c r="W23" i="19"/>
  <c r="W33" i="19"/>
  <c r="Q13" i="19"/>
  <c r="W13" i="19"/>
  <c r="AI13" i="19"/>
  <c r="Q43" i="19"/>
  <c r="Q23" i="19"/>
  <c r="W53" i="19"/>
  <c r="M12" i="19"/>
  <c r="AK42" i="19"/>
  <c r="AE32" i="19"/>
  <c r="AC34" i="1"/>
  <c r="M52" i="19"/>
  <c r="S12" i="19"/>
  <c r="M32" i="19"/>
  <c r="S52" i="19"/>
  <c r="Y52" i="19"/>
  <c r="Y42" i="19"/>
  <c r="AK12" i="19"/>
  <c r="S22" i="19"/>
  <c r="AE12" i="19"/>
  <c r="Y22" i="19"/>
  <c r="S32" i="19"/>
  <c r="AK52" i="19"/>
  <c r="M22" i="19"/>
  <c r="AK32" i="19"/>
  <c r="AE22" i="19"/>
  <c r="AE42" i="19"/>
  <c r="Y32" i="19"/>
  <c r="M42" i="19"/>
  <c r="Y12" i="19"/>
  <c r="AE52" i="19"/>
  <c r="AK22" i="19"/>
  <c r="S42" i="19"/>
  <c r="AA28" i="1"/>
  <c r="AB30" i="1"/>
  <c r="AA30" i="1" s="1"/>
  <c r="AB29" i="1"/>
  <c r="AA29" i="1" s="1"/>
  <c r="AA21" i="1"/>
  <c r="AB22"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AC21" i="1"/>
  <c r="L10" i="19"/>
  <c r="L50" i="19"/>
  <c r="AJ20" i="19"/>
  <c r="AJ40" i="19"/>
  <c r="AD30" i="19"/>
  <c r="R20" i="19"/>
  <c r="AD50" i="19"/>
  <c r="AJ30" i="19"/>
  <c r="AJ50" i="19"/>
  <c r="X30" i="19"/>
  <c r="AD20" i="19"/>
  <c r="L40" i="19"/>
  <c r="X50" i="19"/>
  <c r="X20" i="19"/>
  <c r="AD40" i="19"/>
  <c r="R10" i="19"/>
  <c r="L30" i="19"/>
  <c r="L20" i="19"/>
  <c r="AA40" i="1"/>
  <c r="AB41" i="1"/>
  <c r="AA53" i="1"/>
  <c r="AB54" i="1"/>
  <c r="AA54"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39" i="1"/>
  <c r="X23" i="19"/>
  <c r="R33" i="19"/>
  <c r="R43" i="19"/>
  <c r="AD53" i="19"/>
  <c r="AJ13" i="19"/>
  <c r="R23" i="19"/>
  <c r="R13" i="19"/>
  <c r="AJ53" i="19"/>
  <c r="L33" i="19"/>
  <c r="L23" i="19"/>
  <c r="X43" i="19"/>
  <c r="X53" i="19"/>
  <c r="AD13" i="19"/>
  <c r="L53" i="19"/>
  <c r="L13" i="19"/>
  <c r="AD23" i="19"/>
  <c r="AJ33" i="19"/>
  <c r="AJ23" i="19"/>
  <c r="R53" i="19"/>
  <c r="M55" i="19"/>
  <c r="AK15" i="19"/>
  <c r="AE25" i="19"/>
  <c r="AC52"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29"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30" i="1"/>
  <c r="AG11" i="19"/>
  <c r="AM41" i="19"/>
  <c r="AA21" i="19"/>
  <c r="AA51" i="19"/>
  <c r="U51" i="19"/>
  <c r="U31" i="19"/>
  <c r="AA11" i="19"/>
  <c r="AG21" i="19"/>
  <c r="O31" i="19"/>
  <c r="AA46" i="1"/>
  <c r="AB47" i="1"/>
  <c r="AA16" i="1"/>
  <c r="AB17" i="1"/>
  <c r="AA17" i="1" s="1"/>
  <c r="AB18" i="1"/>
  <c r="AA18"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22" i="1"/>
  <c r="AB23" i="1"/>
  <c r="AE11" i="19"/>
  <c r="Y41" i="19"/>
  <c r="M41" i="19"/>
  <c r="Y21" i="19"/>
  <c r="AK41" i="19"/>
  <c r="S31" i="19"/>
  <c r="M31" i="19"/>
  <c r="M51" i="19"/>
  <c r="Y51" i="19"/>
  <c r="AK21" i="19"/>
  <c r="AK31" i="19"/>
  <c r="Y11" i="19"/>
  <c r="AE41" i="19"/>
  <c r="AE21" i="19"/>
  <c r="S51" i="19"/>
  <c r="AE51" i="19"/>
  <c r="AK51" i="19"/>
  <c r="M21" i="19"/>
  <c r="AE31" i="19"/>
  <c r="AC28" i="1"/>
  <c r="S41" i="19"/>
  <c r="AK11" i="19"/>
  <c r="S11" i="19"/>
  <c r="Y31" i="19"/>
  <c r="S21" i="19"/>
  <c r="M11" i="19"/>
  <c r="L54" i="19"/>
  <c r="AJ14" i="19"/>
  <c r="AD44" i="19"/>
  <c r="X54" i="19"/>
  <c r="R14" i="19"/>
  <c r="AD24" i="19"/>
  <c r="AD34" i="19"/>
  <c r="R54" i="19"/>
  <c r="L34" i="19"/>
  <c r="AJ34" i="19"/>
  <c r="X24" i="19"/>
  <c r="AJ24" i="19"/>
  <c r="X44" i="19"/>
  <c r="R24" i="19"/>
  <c r="AC45" i="1"/>
  <c r="X34" i="19"/>
  <c r="L14" i="19"/>
  <c r="AD14" i="19"/>
  <c r="L44" i="19"/>
  <c r="R44" i="19"/>
  <c r="AD54" i="19"/>
  <c r="X14" i="19"/>
  <c r="AJ44" i="19"/>
  <c r="R34" i="19"/>
  <c r="AJ54" i="19"/>
  <c r="L24" i="19"/>
  <c r="AD29" i="19"/>
  <c r="AD19" i="19"/>
  <c r="R39" i="19"/>
  <c r="R9" i="19"/>
  <c r="X49" i="19"/>
  <c r="X9" i="19"/>
  <c r="AD39" i="19"/>
  <c r="R29" i="19"/>
  <c r="L49" i="19"/>
  <c r="X19" i="19"/>
  <c r="X29" i="19"/>
  <c r="X39" i="19"/>
  <c r="L9" i="19"/>
  <c r="AC15" i="1"/>
  <c r="AD9" i="19"/>
  <c r="AJ49" i="19"/>
  <c r="L39" i="19"/>
  <c r="R19" i="19"/>
  <c r="AJ39" i="19"/>
  <c r="AJ29" i="19"/>
  <c r="AJ19" i="19"/>
  <c r="AJ9" i="19"/>
  <c r="AD49" i="19"/>
  <c r="L19" i="19"/>
  <c r="L29" i="19"/>
  <c r="R49" i="19"/>
  <c r="AA23" i="1" l="1"/>
  <c r="AB24" i="1"/>
  <c r="AA24" i="1" s="1"/>
  <c r="AG39" i="19"/>
  <c r="AG29" i="19"/>
  <c r="AM19" i="19"/>
  <c r="O39" i="19"/>
  <c r="AC18"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46"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54" i="1"/>
  <c r="AG15" i="19"/>
  <c r="U15" i="19"/>
  <c r="AG55" i="19"/>
  <c r="U55" i="19"/>
  <c r="AE40" i="19"/>
  <c r="Y30" i="19"/>
  <c r="M20" i="19"/>
  <c r="AC22"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17" i="1"/>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53"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16" i="1"/>
  <c r="M9" i="19"/>
  <c r="Y29" i="19"/>
  <c r="AA41" i="1"/>
  <c r="AB42" i="1"/>
  <c r="AA42"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47" i="1"/>
  <c r="AB48" i="1"/>
  <c r="AA48"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40"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48" i="1"/>
  <c r="AA14" i="19"/>
  <c r="O54" i="19"/>
  <c r="U44" i="19"/>
  <c r="U43" i="19"/>
  <c r="U13" i="19"/>
  <c r="AM53" i="19"/>
  <c r="AA53" i="19"/>
  <c r="AA43" i="19"/>
  <c r="O53" i="19"/>
  <c r="O23" i="19"/>
  <c r="O13" i="19"/>
  <c r="AG43" i="19"/>
  <c r="U33" i="19"/>
  <c r="U23" i="19"/>
  <c r="AM13" i="19"/>
  <c r="AM23" i="19"/>
  <c r="AG13" i="19"/>
  <c r="AA23" i="19"/>
  <c r="AG33" i="19"/>
  <c r="AA33" i="19"/>
  <c r="AM33" i="19"/>
  <c r="AA13" i="19"/>
  <c r="AC4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47" i="1"/>
  <c r="AF53" i="19"/>
  <c r="T43" i="19"/>
  <c r="Z53" i="19"/>
  <c r="N43" i="19"/>
  <c r="T23" i="19"/>
  <c r="AF43" i="19"/>
  <c r="Z13" i="19"/>
  <c r="Z43" i="19"/>
  <c r="AF23" i="19"/>
  <c r="AL13" i="19"/>
  <c r="Z23" i="19"/>
  <c r="AL43" i="19"/>
  <c r="AF13" i="19"/>
  <c r="AL23" i="19"/>
  <c r="N13" i="19"/>
  <c r="T33" i="19"/>
  <c r="AL53" i="19"/>
  <c r="N23" i="19"/>
  <c r="N53" i="19"/>
  <c r="AF33" i="19"/>
  <c r="N33" i="19"/>
  <c r="AC41"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24"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23"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X6" i="18" l="1"/>
  <c r="AJ30" i="18"/>
  <c r="R22" i="18"/>
  <c r="L6" i="18"/>
  <c r="R30" i="18"/>
  <c r="X22" i="18"/>
  <c r="X38" i="18"/>
  <c r="AD38" i="18"/>
  <c r="N11" i="1"/>
  <c r="AD22" i="18"/>
  <c r="M11" i="1"/>
  <c r="AB11" i="1" s="1"/>
  <c r="AA11" i="1" s="1"/>
  <c r="X14" i="18"/>
  <c r="L30" i="18"/>
  <c r="R38" i="18"/>
  <c r="AJ14" i="18"/>
  <c r="R14" i="18"/>
  <c r="AD6" i="18"/>
  <c r="AD30" i="18"/>
  <c r="AJ38" i="18"/>
  <c r="AJ22" i="18"/>
  <c r="X30" i="18"/>
  <c r="L14" i="18"/>
  <c r="L22" i="18"/>
  <c r="AJ6" i="18"/>
  <c r="L38" i="18"/>
  <c r="AD14" i="18"/>
  <c r="R6" i="18"/>
  <c r="T14" i="18"/>
  <c r="AL38" i="18"/>
  <c r="N14" i="18"/>
  <c r="Z6" i="18"/>
  <c r="T38" i="18"/>
  <c r="T22" i="18"/>
  <c r="AL14" i="18"/>
  <c r="N22" i="18"/>
  <c r="N12" i="1"/>
  <c r="AF22" i="18"/>
  <c r="N6" i="18"/>
  <c r="AF6" i="18"/>
  <c r="AF38" i="18"/>
  <c r="M12" i="1"/>
  <c r="AB12" i="1" s="1"/>
  <c r="AA12" i="1" s="1"/>
  <c r="N38" i="18"/>
  <c r="AL30" i="18"/>
  <c r="AL22" i="18"/>
  <c r="T6" i="18"/>
  <c r="AF14" i="18"/>
  <c r="AF30" i="18"/>
  <c r="Z22" i="18"/>
  <c r="T30" i="18"/>
  <c r="Z30" i="18"/>
  <c r="AL6" i="18"/>
  <c r="Z14" i="18"/>
  <c r="Z38" i="18"/>
  <c r="N30" i="18"/>
  <c r="P18" i="19" l="1"/>
  <c r="J28" i="19"/>
  <c r="J48" i="19"/>
  <c r="V28" i="19"/>
  <c r="AB8" i="19"/>
  <c r="P28" i="19"/>
  <c r="AB48" i="19"/>
  <c r="AH48" i="19"/>
  <c r="V18" i="19"/>
  <c r="AB28" i="19"/>
  <c r="V38" i="19"/>
  <c r="AH28" i="19"/>
  <c r="AB38" i="19"/>
  <c r="V48" i="19"/>
  <c r="P8" i="19"/>
  <c r="AH8" i="19"/>
  <c r="V8" i="19"/>
  <c r="AH18" i="19"/>
  <c r="J38" i="19"/>
  <c r="AC12" i="1"/>
  <c r="P38" i="19"/>
  <c r="AH38" i="19"/>
  <c r="P48" i="19"/>
  <c r="AB18" i="19"/>
  <c r="J8" i="19"/>
  <c r="J18" i="19"/>
  <c r="J47" i="19"/>
  <c r="AH7" i="19"/>
  <c r="AB27" i="19"/>
  <c r="V47" i="19"/>
  <c r="AC11" i="1"/>
  <c r="J27" i="19"/>
  <c r="AH37" i="19"/>
  <c r="AB7" i="19"/>
  <c r="V17" i="19"/>
  <c r="P37" i="19"/>
  <c r="J7" i="19"/>
  <c r="AH17" i="19"/>
  <c r="AH27" i="19"/>
  <c r="V27" i="19"/>
  <c r="P47" i="19"/>
  <c r="J17" i="19"/>
  <c r="J37" i="19"/>
  <c r="AB37" i="19"/>
  <c r="V7" i="19"/>
  <c r="P27" i="19"/>
  <c r="P17" i="19"/>
  <c r="AH47" i="19"/>
  <c r="AB17" i="19"/>
  <c r="V37" i="19"/>
  <c r="P7" i="19"/>
  <c r="AB47" i="19"/>
  <c r="K25" i="1" l="1"/>
  <c r="L25" i="1" s="1"/>
  <c r="K37" i="1"/>
  <c r="L37" i="1" s="1"/>
  <c r="K49" i="1"/>
  <c r="L49" i="1" s="1"/>
  <c r="K10" i="1"/>
  <c r="K31" i="1"/>
  <c r="L31" i="1" s="1"/>
  <c r="K43" i="1"/>
  <c r="L43" i="1" s="1"/>
  <c r="K13" i="1"/>
  <c r="L13" i="1" s="1"/>
  <c r="K19" i="1"/>
  <c r="L19" i="1" s="1"/>
  <c r="K12" i="1"/>
  <c r="K11" i="1"/>
  <c r="P22" i="18" l="1"/>
  <c r="J14" i="18"/>
  <c r="AB38" i="18"/>
  <c r="M10" i="1"/>
  <c r="AA10" i="1" s="1"/>
  <c r="V6" i="18"/>
  <c r="P30" i="18"/>
  <c r="AB22" i="18"/>
  <c r="AH30" i="18"/>
  <c r="AH22" i="18"/>
  <c r="V14" i="18"/>
  <c r="AB14" i="18"/>
  <c r="AH6" i="18"/>
  <c r="N10" i="1"/>
  <c r="P14" i="18"/>
  <c r="V38" i="18"/>
  <c r="J30" i="18"/>
  <c r="AB30" i="18"/>
  <c r="V22" i="18"/>
  <c r="AH14" i="18"/>
  <c r="V30" i="18"/>
  <c r="P38" i="18"/>
  <c r="J38" i="18"/>
  <c r="J22" i="18"/>
  <c r="P6" i="18"/>
  <c r="AH38" i="18"/>
  <c r="AB6" i="18"/>
  <c r="J6" i="18"/>
  <c r="AB40" i="18"/>
  <c r="M13" i="1"/>
  <c r="P24" i="18"/>
  <c r="V32" i="18"/>
  <c r="AH24" i="18"/>
  <c r="AB32" i="18"/>
  <c r="P8" i="18"/>
  <c r="J40" i="18"/>
  <c r="V24" i="18"/>
  <c r="V8" i="18"/>
  <c r="J32" i="18"/>
  <c r="AH32" i="18"/>
  <c r="J16" i="18"/>
  <c r="V40" i="18"/>
  <c r="AH16" i="18"/>
  <c r="AH8" i="18"/>
  <c r="AB8" i="18"/>
  <c r="N13" i="1"/>
  <c r="AB24" i="18"/>
  <c r="P32" i="18"/>
  <c r="P16" i="18"/>
  <c r="AB16" i="18"/>
  <c r="AH40" i="18"/>
  <c r="J24" i="18"/>
  <c r="V16" i="18"/>
  <c r="P40" i="18"/>
  <c r="J8" i="18"/>
  <c r="AH12" i="18"/>
  <c r="P28" i="18"/>
  <c r="P44" i="18"/>
  <c r="P36" i="18"/>
  <c r="AH36" i="18"/>
  <c r="AB20" i="18"/>
  <c r="V20" i="18"/>
  <c r="N49" i="1"/>
  <c r="AB44" i="18"/>
  <c r="V12" i="18"/>
  <c r="M49" i="1"/>
  <c r="AB49" i="1" s="1"/>
  <c r="AA49" i="1" s="1"/>
  <c r="J36" i="18"/>
  <c r="V36" i="18"/>
  <c r="J20" i="18"/>
  <c r="AB12" i="18"/>
  <c r="AB36" i="18"/>
  <c r="AB28" i="18"/>
  <c r="J44" i="18"/>
  <c r="P12" i="18"/>
  <c r="P20" i="18"/>
  <c r="V44" i="18"/>
  <c r="V28" i="18"/>
  <c r="AH28" i="18"/>
  <c r="J12" i="18"/>
  <c r="AH20" i="18"/>
  <c r="J28" i="18"/>
  <c r="AH44" i="18"/>
  <c r="R24" i="18"/>
  <c r="R8" i="18"/>
  <c r="X40" i="18"/>
  <c r="X24" i="18"/>
  <c r="L40" i="18"/>
  <c r="X32" i="18"/>
  <c r="AD32" i="18"/>
  <c r="L8" i="18"/>
  <c r="AD24" i="18"/>
  <c r="N19" i="1"/>
  <c r="AJ8" i="18"/>
  <c r="X16" i="18"/>
  <c r="AJ40" i="18"/>
  <c r="AD16" i="18"/>
  <c r="R32" i="18"/>
  <c r="AJ32" i="18"/>
  <c r="L32" i="18"/>
  <c r="M19" i="1"/>
  <c r="L24" i="18"/>
  <c r="R16" i="18"/>
  <c r="L16" i="18"/>
  <c r="AJ16" i="18"/>
  <c r="AD8" i="18"/>
  <c r="X8" i="18"/>
  <c r="R40" i="18"/>
  <c r="AJ24" i="18"/>
  <c r="AD40" i="18"/>
  <c r="AF34" i="18"/>
  <c r="AL10" i="18"/>
  <c r="N18" i="18"/>
  <c r="N26" i="18"/>
  <c r="Z26" i="18"/>
  <c r="T10" i="18"/>
  <c r="T42" i="18"/>
  <c r="Z18" i="18"/>
  <c r="T34" i="18"/>
  <c r="Z34" i="18"/>
  <c r="AF42" i="18"/>
  <c r="AL26" i="18"/>
  <c r="T26" i="18"/>
  <c r="AL18" i="18"/>
  <c r="AL34" i="18"/>
  <c r="N43" i="1"/>
  <c r="Z42" i="18"/>
  <c r="N42" i="18"/>
  <c r="AF26" i="18"/>
  <c r="AF10" i="18"/>
  <c r="N10" i="18"/>
  <c r="M43" i="1"/>
  <c r="AL42" i="18"/>
  <c r="T18" i="18"/>
  <c r="Z10" i="18"/>
  <c r="AF18" i="18"/>
  <c r="N34" i="18"/>
  <c r="AD26" i="18"/>
  <c r="X18" i="18"/>
  <c r="AJ10" i="18"/>
  <c r="M37" i="1"/>
  <c r="R34" i="18"/>
  <c r="R42" i="18"/>
  <c r="L26" i="18"/>
  <c r="R10" i="18"/>
  <c r="X42" i="18"/>
  <c r="L10" i="18"/>
  <c r="X34" i="18"/>
  <c r="AD42" i="18"/>
  <c r="L18" i="18"/>
  <c r="L34" i="18"/>
  <c r="X26" i="18"/>
  <c r="AD34" i="18"/>
  <c r="L42" i="18"/>
  <c r="X10" i="18"/>
  <c r="AJ34" i="18"/>
  <c r="AJ26" i="18"/>
  <c r="AJ42" i="18"/>
  <c r="AJ18" i="18"/>
  <c r="AD10" i="18"/>
  <c r="R18" i="18"/>
  <c r="R26" i="18"/>
  <c r="AD18" i="18"/>
  <c r="N37" i="1"/>
  <c r="P34" i="18"/>
  <c r="P10" i="18"/>
  <c r="AH42" i="18"/>
  <c r="AB34" i="18"/>
  <c r="J10" i="18"/>
  <c r="P26" i="18"/>
  <c r="V18" i="18"/>
  <c r="AB18" i="18"/>
  <c r="V34" i="18"/>
  <c r="AB26" i="18"/>
  <c r="V10" i="18"/>
  <c r="AB10" i="18"/>
  <c r="J26" i="18"/>
  <c r="P18" i="18"/>
  <c r="M31" i="1"/>
  <c r="AB42" i="18"/>
  <c r="P42" i="18"/>
  <c r="AH26" i="18"/>
  <c r="AH18" i="18"/>
  <c r="J18" i="18"/>
  <c r="AH10" i="18"/>
  <c r="J42" i="18"/>
  <c r="AH34" i="18"/>
  <c r="V42" i="18"/>
  <c r="V26" i="18"/>
  <c r="J34" i="18"/>
  <c r="N31" i="1"/>
  <c r="AF32" i="18"/>
  <c r="AL8" i="18"/>
  <c r="T24" i="18"/>
  <c r="N16" i="18"/>
  <c r="N24" i="18"/>
  <c r="AF16" i="18"/>
  <c r="AL16" i="18"/>
  <c r="AF8" i="18"/>
  <c r="AL24" i="18"/>
  <c r="T32" i="18"/>
  <c r="N25" i="1"/>
  <c r="Z40" i="18"/>
  <c r="T40" i="18"/>
  <c r="Z8" i="18"/>
  <c r="AL32" i="18"/>
  <c r="Z16" i="18"/>
  <c r="M25" i="1"/>
  <c r="T8" i="18"/>
  <c r="Z32" i="18"/>
  <c r="AL40" i="18"/>
  <c r="T16" i="18"/>
  <c r="N40" i="18"/>
  <c r="AF24" i="18"/>
  <c r="AF40" i="18"/>
  <c r="Z24" i="18"/>
  <c r="N32" i="18"/>
  <c r="N8" i="18"/>
  <c r="P16" i="19" l="1"/>
  <c r="AH46" i="19"/>
  <c r="AB26" i="19"/>
  <c r="V26" i="19"/>
  <c r="V36" i="19"/>
  <c r="AB36" i="19"/>
  <c r="J26" i="19"/>
  <c r="P6" i="19"/>
  <c r="AB46" i="19"/>
  <c r="AB16" i="19"/>
  <c r="AC10" i="1"/>
  <c r="AB6" i="19"/>
  <c r="AH26" i="19"/>
  <c r="P36" i="19"/>
  <c r="AH36" i="19"/>
  <c r="J46" i="19"/>
  <c r="AH6" i="19"/>
  <c r="J6" i="19"/>
  <c r="P26" i="19"/>
  <c r="AH16" i="19"/>
  <c r="V46" i="19"/>
  <c r="P46" i="19"/>
  <c r="J16" i="19"/>
  <c r="V16" i="19"/>
  <c r="V6" i="19"/>
  <c r="J36" i="19"/>
  <c r="J15" i="19"/>
  <c r="AB15" i="19"/>
  <c r="J35" i="19"/>
  <c r="AH15" i="19"/>
  <c r="AC49" i="1"/>
  <c r="J45" i="19"/>
  <c r="AB45" i="19"/>
  <c r="AH45" i="19"/>
  <c r="AB25" i="19"/>
  <c r="P25" i="19"/>
  <c r="AH25" i="19"/>
  <c r="J55" i="19"/>
  <c r="V15" i="19"/>
  <c r="P55" i="19"/>
  <c r="P15" i="19"/>
  <c r="V35" i="19"/>
  <c r="V25" i="19"/>
  <c r="P45" i="19"/>
  <c r="J25" i="19"/>
  <c r="AH35" i="19"/>
  <c r="P35" i="19"/>
  <c r="V45" i="19"/>
  <c r="AH55" i="19"/>
  <c r="AB35" i="19"/>
  <c r="AB55" i="19"/>
  <c r="V55"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<sst xmlns="http://schemas.openxmlformats.org/spreadsheetml/2006/main" count="366" uniqueCount="239">
  <si>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</si>
  <si>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</si>
  <si>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</si>
  <si>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</si>
  <si>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</si>
  <si>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</si>
  <si>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</si>
  <si>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</si>
  <si>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</si>
  <si>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</si>
  <si>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</si>
  <si>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</si>
  <si>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</si>
  <si>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</si>
  <si>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</si>
  <si>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</si>
  <si>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</si>
  <si>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</si>
  <si>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</si>
  <si>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</si>
  <si>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</si>
  <si>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</si>
  <si>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</si>
  <si>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</si>
  <si>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</si>
  <si>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</si>
  <si>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</si>
  <si>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</si>
  <si>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</si>
  <si>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</si>
  <si>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</si>
  <si>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</si>
  <si>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</si>
  <si>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</si>
  <si>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</si>
  <si>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</si>
  <si>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</si>
  <si>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</si>
  <si>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</si>
  <si>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</si>
  <si>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</si>
  <si>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</si>
  <si>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</si>
  <si>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</si>
  <si>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</si>
  <si>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</si>
  <si>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</si>
  <si>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</si>
  <si>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</si>
  <si>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</si>
  <si>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</si>
  <si>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</si>
  <si>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</si>
  <si>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</si>
  <si>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</si>
  <si>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</si>
  <si>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</si>
  <si>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</si>
  <si>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</si>
  <si>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</si>
  <si>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</si>
  <si>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</si>
  <si>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</si>
  <si>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</si>
  <si>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</si>
  <si>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</si>
  <si>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</si>
  <si>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</si>
  <si>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</si>
  <si>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</si>
  <si>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</si>
  <si>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</si>
  <si>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</si>
  <si>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</si>
  <si>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</si>
  <si>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</si>
  <si>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</si>
  <si>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</si>
  <si>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</si>
  <si>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</si>
  <si>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</si>
  <si>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</si>
  <si>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</si>
  <si>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</si>
  <si>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</si>
  <si>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</si>
  <si>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</si>
  <si>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</si>
  <si>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</si>
  <si>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</si>
  <si>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</si>
  <si>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</si>
  <si>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</si>
  <si>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</si>
  <si>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</si>
  <si>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</si>
  <si>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</si>
  <si>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</si>
  <si>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</si>
  <si>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</si>
  <si>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</si>
  <si>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</si>
  <si>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</si>
  <si>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</si>
  <si>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</si>
  <si>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</si>
  <si>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</si>
  <si>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</si>
  <si>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</si>
  <si>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</si>
  <si>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</si>
  <si>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</si>
  <si>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</si>
  <si>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</si>
  <si>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</si>
  <si>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</si>
  <si>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</si>
  <si>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</si>
  <si>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</si>
  <si>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</si>
  <si>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</si>
  <si>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</si>
  <si>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</si>
  <si>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</si>
  <si>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</si>
  <si>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</si>
  <si>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</si>
  <si>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</si>
  <si>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</si>
  <si>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</si>
  <si>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</si>
  <si>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</si>
  <si>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</si>
  <si>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</si>
  <si>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</si>
  <si>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</si>
  <si>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</si>
  <si>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</si>
  <si>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</si>
  <si>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</si>
  <si>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</si>
  <si>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</si>
  <si>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</si>
  <si>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</si>
  <si>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</si>
  <si>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</si>
  <si>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</si>
  <si>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</si>
  <si>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</si>
  <si>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</si>
  <si>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</si>
  <si>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</si>
  <si>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</si>
  <si>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</si>
  <si>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</si>
  <si>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</si>
  <si>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</si>
  <si>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</si>
  <si>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</si>
  <si>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</si>
  <si>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</si>
  <si>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</si>
  <si>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</si>
  <si>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</si>
  <si>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</si>
  <si>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</si>
  <si>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</si>
  <si>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</si>
  <si>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</si>
  <si>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</si>
  <si>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</si>
  <si>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</si>
  <si>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</si>
  <si>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</si>
  <si>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</si>
  <si>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</si>
  <si>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</si>
  <si>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</si>
  <si>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</si>
  <si>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</si>
  <si>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</si>
  <si>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</si>
  <si>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</si>
  <si>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</si>
  <si>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</si>
  <si>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</si>
  <si>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</si>
  <si>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</si>
  <si>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</si>
  <si>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</si>
  <si>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</si>
  <si>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</si>
  <si>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</si>
  <si>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</si>
  <si>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</si>
  <si>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</si>
  <si>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</si>
  <si>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</si>
  <si>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</si>
  <si>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</si>
  <si>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</si>
  <si>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</si>
  <si>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</si>
  <si>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</si>
  <si>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</si>
  <si>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</si>
  <si>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</si>
  <si>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</si>
  <si>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</si>
  <si>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</si>
  <si>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</si>
  <si>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</si>
  <si>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</si>
  <si>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</si>
  <si>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GESTIÓN DOCUMENTAL</t>
  </si>
  <si>
    <t>Administrar, controlar y conservar la información documental de la EDAT S.A. E.S.P. OFICIAL, a través de la planificación, manejo y organización de la documentación producida y recibida, desde su origen hasta su disposición final, con el fin de facilitar su utilización y conservación y dar cumplimiento a los fines institucionales.</t>
  </si>
  <si>
    <t>Inicia con la planeación de las actividades y culmina con el seguimiento y evaluación del proceso</t>
  </si>
  <si>
    <t>ANUAL</t>
  </si>
  <si>
    <t>PROBABILIDAD</t>
  </si>
  <si>
    <t>Secretaría General y Jurídica - Proceso de Gestión Documental</t>
  </si>
  <si>
    <t>ALTA</t>
  </si>
  <si>
    <t>MAYOR</t>
  </si>
  <si>
    <t>En la planta de personal de la entidad no se cuenta con cargos asignados a los temas de Gestión Docuemntal.
Crecimiento de la empresa y del manejo documental de la misma.
No aplicabilidad por parte de las áreas de los lineamientos de gestión documental</t>
  </si>
  <si>
    <t>MODERADO</t>
  </si>
  <si>
    <t>SI</t>
  </si>
  <si>
    <t>DIARIA</t>
  </si>
  <si>
    <t>MEDIA</t>
  </si>
  <si>
    <t xml:space="preserve">
No se tiene en cuenta la importancia de la organización documental y sus trasferencias de acuerdo a los tiempos que se establecen en la normatividad del AGN y asi mismo garantizar la consulta de la informacion.</t>
  </si>
  <si>
    <t>Tener en cuenta el personal requerido para llevar a  cabo las actividades de gestion documental con la experiencia acorde a la necesidad de ejecucion de actividades propias.</t>
  </si>
  <si>
    <t>Socializar con los directivos de la entidad sobre la importancia de los procesos y procedimientos establecidos en la normatividad el AGN los cuales deben ser presentados en los comites de gestion de desempeño.</t>
  </si>
  <si>
    <t>Crecimiento de las áreas y de los documentos o evidencias que se generan en la Entidad.
Equipos obsoletos
No se había previsto en administraciones anteriores, las necesidades infraestructura y de equipos para imprimir y llevar a cabo la  digitalización,</t>
  </si>
  <si>
    <t>De acuerdo a la identificacion de las necesidades tener en cuenta la adquisicion de los implementos necesarios para llevar a cabo las actividades propias de la Organización documental.</t>
  </si>
  <si>
    <t>Fortalecer la adquisicion de la infraestructura adecuada para el personal de apoyo que debe implementar los parametros de gestion documental.
Compra de estateria y  equipos de digitalización. (Escaner e impresoras)</t>
  </si>
  <si>
    <t>Deficiencia de personal para llevar a cabo las tareas de apoyo en la gestion documental Archivo de Gestion y archivo central                                   DESCRIPCION                                                               Falta personal para apoyo en actividades relacionadas con archivo en la empresa para la clasificacion, organizacion y conservacion del archivo. Cambio de cajas y carpetas que se encuentran en mal estado, como tambien la actualizacion de inventarios.</t>
  </si>
  <si>
    <t>Contratación de personal idoneo con la experiencia y conocimiento en temas de archivistica, por la modalidad de prestación de servicios</t>
  </si>
  <si>
    <t xml:space="preserve"> Personal de apoyo con experiencia o conocimientos basicos en archivos para fortalecer las actividades en el archivo general de la empresa.</t>
  </si>
  <si>
    <t xml:space="preserve">La vinculacion de la persona encargada del archivo central no se llevo acabo para la vigencia 2024                                                                            DESCRIPCION                                                                   La persona encargada lider del proceso en el archivo central no fue vinculada, esto genera que las transferencias no se lleven a cabo para la vigencia 2024 teniendo en cuenta que los expedientes que reposan en el archivo de gestion tienen tiempo de caducidad segun lo establecido en las tablas de retencioon documental.                                             </t>
  </si>
  <si>
    <t xml:space="preserve">Debilidades en la infraestructura fisica y  tecnologica.                                             DESCRIPCION                                                                  No se cuenta con la infraestructura suficiente para garantizar la custodia de los expedientes, no se cuenta con la estateria  adecuada y suficientes equipos como escaners e impresoras y computadores, para llevar a cabo la digitalizacion de los documentos.      </t>
  </si>
  <si>
    <t>abril a Diciembre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</si>
</sst>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8"/>
      <name val="Arial"/>
      <family val="2"/>
    </font>
    <font>
      <sz val="12"/>
      <name val="Arial"/>
      <family val="2"/>
    </font>
  </fonts>
  <fills count="1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FF"/>
        <bgColor rgb="FFFFFFFF"/>
      </patternFill>
    </fill>
    <fill>
      <patternFill patternType="solid">
        <fgColor theme="0"/>
        <bgColor rgb="FFFF0000"/>
      </patternFill>
    </fill>
  </fills>
  <borders count="78">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0" fontId="48" fillId="16" borderId="33" xfId="0" applyFont="1" applyFill="1" applyBorder="1" applyAlignment="1">
      <alignment horizontal="center" vertical="center" wrapText="1"/>
    </xf>
    <xf numFmtId="0" fontId="48" fillId="17" borderId="33" xfId="0" applyFont="1" applyFill="1" applyBorder="1" applyAlignment="1">
      <alignment horizontal="center"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4" fillId="2" borderId="2" xfId="0" applyFont="1" applyFill="1" applyBorder="1" applyAlignment="1">
      <alignment horizontal="center" vertical="center" wrapText="1"/>
    </xf>
    <xf numFmtId="0" fontId="60" fillId="0" borderId="75" xfId="0" applyFont="1" applyBorder="1" applyAlignment="1">
      <alignment horizontal="left" vertical="center" wrapText="1"/>
    </xf>
    <xf numFmtId="0" fontId="60" fillId="0" borderId="76" xfId="0" applyFont="1" applyBorder="1"/>
    <xf numFmtId="0" fontId="60" fillId="0" borderId="77" xfId="0" applyFont="1" applyBorder="1"/>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59" fillId="0" borderId="75" xfId="0" applyFont="1" applyBorder="1" applyAlignment="1">
      <alignment horizontal="center" vertical="center"/>
    </xf>
    <xf numFmtId="0" fontId="59" fillId="0" borderId="76" xfId="0" applyFont="1" applyBorder="1" applyAlignment="1">
      <alignment horizontal="center" vertical="center"/>
    </xf>
    <xf numFmtId="0" fontId="59" fillId="0" borderId="77" xfId="0" applyFont="1" applyBorder="1" applyAlignment="1">
      <alignment horizontal="center" vertical="center"/>
    </xf>
    <xf numFmtId="0" fontId="1" fillId="3" borderId="0" xfId="0" applyFont="1" applyFill="1" applyAlignment="1">
      <alignment horizontal="left" vertical="center"/>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87">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00B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131370</xdr:colOff>
      <xdr:row>2</xdr:row>
      <xdr:rowOff>163286</xdr:rowOff>
    </xdr:from>
    <xdr:to>
      <xdr:col>21</xdr:col>
      <xdr:colOff>378032</xdr:colOff>
      <xdr:row>5</xdr:row>
      <xdr:rowOff>478972</xdr:rowOff>
    </xdr:to>
    <xdr:pic>
      <xdr:nvPicPr>
        <xdr:cNvPr id="7" name="Imagen 6" descr="logo final edat">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54552" y="682831"/>
          <a:ext cx="1891889" cy="1239323"/>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7"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thickBot="1" x14ac:dyDescent="0.45"/>
    <row r="2" spans="2:8" ht="18" x14ac:dyDescent="0.4">
      <c r="B2" s="148" t="s">
        <v>166</v>
      </c>
      <c r="C2" s="149"/>
      <c r="D2" s="149"/>
      <c r="E2" s="149"/>
      <c r="F2" s="149"/>
      <c r="G2" s="149"/>
      <c r="H2" s="150"/>
    </row>
    <row r="3" spans="2:8" ht="14.65" x14ac:dyDescent="0.4">
      <c r="B3" s="84"/>
      <c r="C3" s="85"/>
      <c r="D3" s="85"/>
      <c r="E3" s="85"/>
      <c r="F3" s="85"/>
      <c r="G3" s="85"/>
      <c r="H3" s="86"/>
    </row>
    <row r="4" spans="2:8" ht="63" customHeight="1" x14ac:dyDescent="0.25">
      <c r="B4" s="151" t="s">
        <v>209</v>
      </c>
      <c r="C4" s="152"/>
      <c r="D4" s="152"/>
      <c r="E4" s="152"/>
      <c r="F4" s="152"/>
      <c r="G4" s="152"/>
      <c r="H4" s="153"/>
    </row>
    <row r="5" spans="2:8" ht="63" customHeight="1" x14ac:dyDescent="0.25">
      <c r="B5" s="154"/>
      <c r="C5" s="155"/>
      <c r="D5" s="155"/>
      <c r="E5" s="155"/>
      <c r="F5" s="155"/>
      <c r="G5" s="155"/>
      <c r="H5" s="156"/>
    </row>
    <row r="6" spans="2:8" ht="14.65" x14ac:dyDescent="0.4">
      <c r="B6" s="157" t="s">
        <v>164</v>
      </c>
      <c r="C6" s="158"/>
      <c r="D6" s="158"/>
      <c r="E6" s="158"/>
      <c r="F6" s="158"/>
      <c r="G6" s="158"/>
      <c r="H6" s="159"/>
    </row>
    <row r="7" spans="2:8" ht="95.25" customHeight="1" x14ac:dyDescent="0.25">
      <c r="B7" s="167" t="s">
        <v>169</v>
      </c>
      <c r="C7" s="168"/>
      <c r="D7" s="168"/>
      <c r="E7" s="168"/>
      <c r="F7" s="168"/>
      <c r="G7" s="168"/>
      <c r="H7" s="169"/>
    </row>
    <row r="8" spans="2:8" ht="16.5" x14ac:dyDescent="0.25">
      <c r="B8" s="120"/>
      <c r="C8" s="121"/>
      <c r="D8" s="121"/>
      <c r="E8" s="121"/>
      <c r="F8" s="121"/>
      <c r="G8" s="121"/>
      <c r="H8" s="122"/>
    </row>
    <row r="9" spans="2:8" ht="16.5" customHeight="1" x14ac:dyDescent="0.25">
      <c r="B9" s="160" t="s">
        <v>202</v>
      </c>
      <c r="C9" s="161"/>
      <c r="D9" s="161"/>
      <c r="E9" s="161"/>
      <c r="F9" s="161"/>
      <c r="G9" s="161"/>
      <c r="H9" s="162"/>
    </row>
    <row r="10" spans="2:8" ht="44.25" customHeight="1" x14ac:dyDescent="0.25">
      <c r="B10" s="160"/>
      <c r="C10" s="161"/>
      <c r="D10" s="161"/>
      <c r="E10" s="161"/>
      <c r="F10" s="161"/>
      <c r="G10" s="161"/>
      <c r="H10" s="162"/>
    </row>
    <row r="11" spans="2:8" ht="15.75" thickBot="1" x14ac:dyDescent="0.3">
      <c r="B11" s="109"/>
      <c r="C11" s="112"/>
      <c r="D11" s="117"/>
      <c r="E11" s="118"/>
      <c r="F11" s="118"/>
      <c r="G11" s="119"/>
      <c r="H11" s="113"/>
    </row>
    <row r="12" spans="2:8" ht="15.75" thickTop="1" x14ac:dyDescent="0.25">
      <c r="B12" s="109"/>
      <c r="C12" s="163" t="s">
        <v>165</v>
      </c>
      <c r="D12" s="164"/>
      <c r="E12" s="165" t="s">
        <v>203</v>
      </c>
      <c r="F12" s="166"/>
      <c r="G12" s="112"/>
      <c r="H12" s="113"/>
    </row>
    <row r="13" spans="2:8" ht="35.25" customHeight="1" x14ac:dyDescent="0.25">
      <c r="B13" s="109"/>
      <c r="C13" s="170" t="s">
        <v>196</v>
      </c>
      <c r="D13" s="171"/>
      <c r="E13" s="172" t="s">
        <v>201</v>
      </c>
      <c r="F13" s="173"/>
      <c r="G13" s="112"/>
      <c r="H13" s="113"/>
    </row>
    <row r="14" spans="2:8" ht="17.25" customHeight="1" x14ac:dyDescent="0.25">
      <c r="B14" s="109"/>
      <c r="C14" s="170" t="s">
        <v>197</v>
      </c>
      <c r="D14" s="171"/>
      <c r="E14" s="172" t="s">
        <v>199</v>
      </c>
      <c r="F14" s="173"/>
      <c r="G14" s="112"/>
      <c r="H14" s="113"/>
    </row>
    <row r="15" spans="2:8" ht="19.5" customHeight="1" x14ac:dyDescent="0.25">
      <c r="B15" s="109"/>
      <c r="C15" s="170" t="s">
        <v>198</v>
      </c>
      <c r="D15" s="171"/>
      <c r="E15" s="172" t="s">
        <v>200</v>
      </c>
      <c r="F15" s="173"/>
      <c r="G15" s="112"/>
      <c r="H15" s="113"/>
    </row>
    <row r="16" spans="2:8" ht="69.75" customHeight="1" x14ac:dyDescent="0.25">
      <c r="B16" s="109"/>
      <c r="C16" s="170" t="s">
        <v>167</v>
      </c>
      <c r="D16" s="171"/>
      <c r="E16" s="172" t="s">
        <v>168</v>
      </c>
      <c r="F16" s="173"/>
      <c r="G16" s="112"/>
      <c r="H16" s="113"/>
    </row>
    <row r="17" spans="2:8" ht="34.5" customHeight="1" x14ac:dyDescent="0.25">
      <c r="B17" s="109"/>
      <c r="C17" s="174" t="s">
        <v>2</v>
      </c>
      <c r="D17" s="175"/>
      <c r="E17" s="176" t="s">
        <v>210</v>
      </c>
      <c r="F17" s="177"/>
      <c r="G17" s="112"/>
      <c r="H17" s="113"/>
    </row>
    <row r="18" spans="2:8" ht="27.75" customHeight="1" x14ac:dyDescent="0.25">
      <c r="B18" s="109"/>
      <c r="C18" s="174" t="s">
        <v>3</v>
      </c>
      <c r="D18" s="175"/>
      <c r="E18" s="176" t="s">
        <v>211</v>
      </c>
      <c r="F18" s="177"/>
      <c r="G18" s="112"/>
      <c r="H18" s="113"/>
    </row>
    <row r="19" spans="2:8" ht="28.5" customHeight="1" x14ac:dyDescent="0.25">
      <c r="B19" s="109"/>
      <c r="C19" s="174" t="s">
        <v>42</v>
      </c>
      <c r="D19" s="175"/>
      <c r="E19" s="176" t="s">
        <v>212</v>
      </c>
      <c r="F19" s="177"/>
      <c r="G19" s="112"/>
      <c r="H19" s="113"/>
    </row>
    <row r="20" spans="2:8" ht="72.75" customHeight="1" x14ac:dyDescent="0.25">
      <c r="B20" s="109"/>
      <c r="C20" s="174" t="s">
        <v>1</v>
      </c>
      <c r="D20" s="175"/>
      <c r="E20" s="176" t="s">
        <v>213</v>
      </c>
      <c r="F20" s="177"/>
      <c r="G20" s="112"/>
      <c r="H20" s="113"/>
    </row>
    <row r="21" spans="2:8" ht="64.5" customHeight="1" x14ac:dyDescent="0.25">
      <c r="B21" s="109"/>
      <c r="C21" s="174" t="s">
        <v>50</v>
      </c>
      <c r="D21" s="175"/>
      <c r="E21" s="176" t="s">
        <v>171</v>
      </c>
      <c r="F21" s="177"/>
      <c r="G21" s="112"/>
      <c r="H21" s="113"/>
    </row>
    <row r="22" spans="2:8" ht="71.25" customHeight="1" x14ac:dyDescent="0.25">
      <c r="B22" s="109"/>
      <c r="C22" s="174" t="s">
        <v>170</v>
      </c>
      <c r="D22" s="175"/>
      <c r="E22" s="176" t="s">
        <v>172</v>
      </c>
      <c r="F22" s="177"/>
      <c r="G22" s="112"/>
      <c r="H22" s="113"/>
    </row>
    <row r="23" spans="2:8" ht="55.5" customHeight="1" x14ac:dyDescent="0.25">
      <c r="B23" s="109"/>
      <c r="C23" s="181" t="s">
        <v>173</v>
      </c>
      <c r="D23" s="182"/>
      <c r="E23" s="176" t="s">
        <v>174</v>
      </c>
      <c r="F23" s="177"/>
      <c r="G23" s="112"/>
      <c r="H23" s="113"/>
    </row>
    <row r="24" spans="2:8" ht="42" customHeight="1" x14ac:dyDescent="0.25">
      <c r="B24" s="109"/>
      <c r="C24" s="181" t="s">
        <v>48</v>
      </c>
      <c r="D24" s="182"/>
      <c r="E24" s="176" t="s">
        <v>175</v>
      </c>
      <c r="F24" s="177"/>
      <c r="G24" s="112"/>
      <c r="H24" s="113"/>
    </row>
    <row r="25" spans="2:8" ht="59.25" customHeight="1" x14ac:dyDescent="0.25">
      <c r="B25" s="109"/>
      <c r="C25" s="181" t="s">
        <v>163</v>
      </c>
      <c r="D25" s="182"/>
      <c r="E25" s="176" t="s">
        <v>176</v>
      </c>
      <c r="F25" s="177"/>
      <c r="G25" s="112"/>
      <c r="H25" s="113"/>
    </row>
    <row r="26" spans="2:8" ht="23.25" customHeight="1" x14ac:dyDescent="0.25">
      <c r="B26" s="109"/>
      <c r="C26" s="181" t="s">
        <v>12</v>
      </c>
      <c r="D26" s="182"/>
      <c r="E26" s="176" t="s">
        <v>177</v>
      </c>
      <c r="F26" s="177"/>
      <c r="G26" s="112"/>
      <c r="H26" s="113"/>
    </row>
    <row r="27" spans="2:8" ht="30.75" customHeight="1" x14ac:dyDescent="0.25">
      <c r="B27" s="109"/>
      <c r="C27" s="181" t="s">
        <v>181</v>
      </c>
      <c r="D27" s="182"/>
      <c r="E27" s="176" t="s">
        <v>178</v>
      </c>
      <c r="F27" s="177"/>
      <c r="G27" s="112"/>
      <c r="H27" s="113"/>
    </row>
    <row r="28" spans="2:8" ht="35.25" customHeight="1" x14ac:dyDescent="0.25">
      <c r="B28" s="109"/>
      <c r="C28" s="181" t="s">
        <v>182</v>
      </c>
      <c r="D28" s="182"/>
      <c r="E28" s="176" t="s">
        <v>179</v>
      </c>
      <c r="F28" s="177"/>
      <c r="G28" s="112"/>
      <c r="H28" s="113"/>
    </row>
    <row r="29" spans="2:8" ht="33" customHeight="1" x14ac:dyDescent="0.25">
      <c r="B29" s="109"/>
      <c r="C29" s="181" t="s">
        <v>182</v>
      </c>
      <c r="D29" s="182"/>
      <c r="E29" s="176" t="s">
        <v>179</v>
      </c>
      <c r="F29" s="177"/>
      <c r="G29" s="112"/>
      <c r="H29" s="113"/>
    </row>
    <row r="30" spans="2:8" ht="30" customHeight="1" x14ac:dyDescent="0.25">
      <c r="B30" s="109"/>
      <c r="C30" s="181" t="s">
        <v>183</v>
      </c>
      <c r="D30" s="182"/>
      <c r="E30" s="176" t="s">
        <v>180</v>
      </c>
      <c r="F30" s="177"/>
      <c r="G30" s="112"/>
      <c r="H30" s="113"/>
    </row>
    <row r="31" spans="2:8" ht="35.25" customHeight="1" x14ac:dyDescent="0.25">
      <c r="B31" s="109"/>
      <c r="C31" s="181" t="s">
        <v>184</v>
      </c>
      <c r="D31" s="182"/>
      <c r="E31" s="176" t="s">
        <v>185</v>
      </c>
      <c r="F31" s="177"/>
      <c r="G31" s="112"/>
      <c r="H31" s="113"/>
    </row>
    <row r="32" spans="2:8" ht="31.5" customHeight="1" x14ac:dyDescent="0.25">
      <c r="B32" s="109"/>
      <c r="C32" s="181" t="s">
        <v>186</v>
      </c>
      <c r="D32" s="182"/>
      <c r="E32" s="176" t="s">
        <v>187</v>
      </c>
      <c r="F32" s="177"/>
      <c r="G32" s="112"/>
      <c r="H32" s="113"/>
    </row>
    <row r="33" spans="2:8" ht="35.25" customHeight="1" x14ac:dyDescent="0.25">
      <c r="B33" s="109"/>
      <c r="C33" s="181" t="s">
        <v>188</v>
      </c>
      <c r="D33" s="182"/>
      <c r="E33" s="176" t="s">
        <v>189</v>
      </c>
      <c r="F33" s="177"/>
      <c r="G33" s="112"/>
      <c r="H33" s="113"/>
    </row>
    <row r="34" spans="2:8" ht="59.25" customHeight="1" x14ac:dyDescent="0.25">
      <c r="B34" s="109"/>
      <c r="C34" s="181" t="s">
        <v>190</v>
      </c>
      <c r="D34" s="182"/>
      <c r="E34" s="176" t="s">
        <v>191</v>
      </c>
      <c r="F34" s="177"/>
      <c r="G34" s="112"/>
      <c r="H34" s="113"/>
    </row>
    <row r="35" spans="2:8" ht="29.25" customHeight="1" x14ac:dyDescent="0.25">
      <c r="B35" s="109"/>
      <c r="C35" s="181" t="s">
        <v>29</v>
      </c>
      <c r="D35" s="182"/>
      <c r="E35" s="176" t="s">
        <v>192</v>
      </c>
      <c r="F35" s="177"/>
      <c r="G35" s="112"/>
      <c r="H35" s="113"/>
    </row>
    <row r="36" spans="2:8" ht="82.5" customHeight="1" x14ac:dyDescent="0.25">
      <c r="B36" s="109"/>
      <c r="C36" s="181" t="s">
        <v>194</v>
      </c>
      <c r="D36" s="182"/>
      <c r="E36" s="176" t="s">
        <v>193</v>
      </c>
      <c r="F36" s="177"/>
      <c r="G36" s="112"/>
      <c r="H36" s="113"/>
    </row>
    <row r="37" spans="2:8" ht="46.5" customHeight="1" x14ac:dyDescent="0.25">
      <c r="B37" s="109"/>
      <c r="C37" s="181" t="s">
        <v>39</v>
      </c>
      <c r="D37" s="182"/>
      <c r="E37" s="176" t="s">
        <v>195</v>
      </c>
      <c r="F37" s="177"/>
      <c r="G37" s="112"/>
      <c r="H37" s="113"/>
    </row>
    <row r="38" spans="2:8" ht="6.75" customHeight="1" thickBot="1" x14ac:dyDescent="0.3">
      <c r="B38" s="109"/>
      <c r="C38" s="183"/>
      <c r="D38" s="184"/>
      <c r="E38" s="185"/>
      <c r="F38" s="186"/>
      <c r="G38" s="112"/>
      <c r="H38" s="113"/>
    </row>
    <row r="39" spans="2:8" ht="15.75" thickTop="1" x14ac:dyDescent="0.25">
      <c r="B39" s="109"/>
      <c r="C39" s="110"/>
      <c r="D39" s="110"/>
      <c r="E39" s="111"/>
      <c r="F39" s="111"/>
      <c r="G39" s="112"/>
      <c r="H39" s="113"/>
    </row>
    <row r="40" spans="2:8" ht="21" customHeight="1" x14ac:dyDescent="0.25">
      <c r="B40" s="178" t="s">
        <v>204</v>
      </c>
      <c r="C40" s="179"/>
      <c r="D40" s="179"/>
      <c r="E40" s="179"/>
      <c r="F40" s="179"/>
      <c r="G40" s="179"/>
      <c r="H40" s="180"/>
    </row>
    <row r="41" spans="2:8" ht="20.25" customHeight="1" x14ac:dyDescent="0.25">
      <c r="B41" s="178" t="s">
        <v>205</v>
      </c>
      <c r="C41" s="179"/>
      <c r="D41" s="179"/>
      <c r="E41" s="179"/>
      <c r="F41" s="179"/>
      <c r="G41" s="179"/>
      <c r="H41" s="180"/>
    </row>
    <row r="42" spans="2:8" ht="20.25" customHeight="1" x14ac:dyDescent="0.25">
      <c r="B42" s="178" t="s">
        <v>206</v>
      </c>
      <c r="C42" s="179"/>
      <c r="D42" s="179"/>
      <c r="E42" s="179"/>
      <c r="F42" s="179"/>
      <c r="G42" s="179"/>
      <c r="H42" s="180"/>
    </row>
    <row r="43" spans="2:8" ht="20.25" customHeight="1" x14ac:dyDescent="0.25">
      <c r="B43" s="178" t="s">
        <v>207</v>
      </c>
      <c r="C43" s="179"/>
      <c r="D43" s="179"/>
      <c r="E43" s="179"/>
      <c r="F43" s="179"/>
      <c r="G43" s="179"/>
      <c r="H43" s="180"/>
    </row>
    <row r="44" spans="2:8" x14ac:dyDescent="0.25">
      <c r="B44" s="178" t="s">
        <v>208</v>
      </c>
      <c r="C44" s="179"/>
      <c r="D44" s="179"/>
      <c r="E44" s="179"/>
      <c r="F44" s="179"/>
      <c r="G44" s="179"/>
      <c r="H44" s="180"/>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57"/>
  <sheetViews>
    <sheetView tabSelected="1" topLeftCell="P1" zoomScale="90" zoomScaleNormal="90" workbookViewId="0">
      <selection activeCell="AN12" sqref="AN12"/>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32.5703125" style="2" customWidth="1"/>
    <col min="5" max="5" width="42" style="1" customWidth="1"/>
    <col min="6" max="6" width="19" style="5" customWidth="1"/>
    <col min="7" max="7" width="17.85546875" style="1" customWidth="1"/>
    <col min="8" max="8" width="16.5703125" style="1" customWidth="1"/>
    <col min="9" max="9" width="7" style="1" customWidth="1"/>
    <col min="10" max="10" width="27.28515625" style="1" bestFit="1" customWidth="1"/>
    <col min="11" max="11" width="10.42578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8.140625" style="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13"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37" t="s">
        <v>144</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9"/>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40"/>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2"/>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ht="17.25" thickBot="1" x14ac:dyDescent="0.35">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thickBot="1" x14ac:dyDescent="0.35">
      <c r="A4" s="197" t="s">
        <v>43</v>
      </c>
      <c r="B4" s="198"/>
      <c r="C4" s="209" t="s">
        <v>214</v>
      </c>
      <c r="D4" s="210"/>
      <c r="E4" s="210"/>
      <c r="F4" s="210"/>
      <c r="G4" s="210"/>
      <c r="H4" s="210"/>
      <c r="I4" s="210"/>
      <c r="J4" s="210"/>
      <c r="K4" s="210"/>
      <c r="L4" s="210"/>
      <c r="M4" s="210"/>
      <c r="N4" s="211"/>
      <c r="O4" s="212"/>
      <c r="P4" s="212"/>
      <c r="Q4" s="212"/>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thickBot="1" x14ac:dyDescent="0.35">
      <c r="A5" s="197" t="s">
        <v>130</v>
      </c>
      <c r="B5" s="198"/>
      <c r="C5" s="188" t="s">
        <v>215</v>
      </c>
      <c r="D5" s="189"/>
      <c r="E5" s="189"/>
      <c r="F5" s="189"/>
      <c r="G5" s="189"/>
      <c r="H5" s="189"/>
      <c r="I5" s="189"/>
      <c r="J5" s="189"/>
      <c r="K5" s="189"/>
      <c r="L5" s="189"/>
      <c r="M5" s="189"/>
      <c r="N5" s="189"/>
      <c r="O5" s="189"/>
      <c r="P5" s="189"/>
      <c r="Q5" s="190"/>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197" t="s">
        <v>44</v>
      </c>
      <c r="B6" s="198"/>
      <c r="C6" s="206" t="s">
        <v>216</v>
      </c>
      <c r="D6" s="207"/>
      <c r="E6" s="207"/>
      <c r="F6" s="207"/>
      <c r="G6" s="207"/>
      <c r="H6" s="207"/>
      <c r="I6" s="207"/>
      <c r="J6" s="207"/>
      <c r="K6" s="207"/>
      <c r="L6" s="207"/>
      <c r="M6" s="207"/>
      <c r="N6" s="20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43" t="s">
        <v>139</v>
      </c>
      <c r="B7" s="244"/>
      <c r="C7" s="244"/>
      <c r="D7" s="244"/>
      <c r="E7" s="244"/>
      <c r="F7" s="244"/>
      <c r="G7" s="245"/>
      <c r="H7" s="243" t="s">
        <v>140</v>
      </c>
      <c r="I7" s="244"/>
      <c r="J7" s="244"/>
      <c r="K7" s="244"/>
      <c r="L7" s="244"/>
      <c r="M7" s="244"/>
      <c r="N7" s="245"/>
      <c r="O7" s="243" t="s">
        <v>141</v>
      </c>
      <c r="P7" s="244"/>
      <c r="Q7" s="244"/>
      <c r="R7" s="244"/>
      <c r="S7" s="244"/>
      <c r="T7" s="244"/>
      <c r="U7" s="244"/>
      <c r="V7" s="244"/>
      <c r="W7" s="245"/>
      <c r="X7" s="243" t="s">
        <v>142</v>
      </c>
      <c r="Y7" s="244"/>
      <c r="Z7" s="244"/>
      <c r="AA7" s="244"/>
      <c r="AB7" s="244"/>
      <c r="AC7" s="244"/>
      <c r="AD7" s="245"/>
      <c r="AE7" s="243" t="s">
        <v>34</v>
      </c>
      <c r="AF7" s="244"/>
      <c r="AG7" s="244"/>
      <c r="AH7" s="244"/>
      <c r="AI7" s="244"/>
      <c r="AJ7" s="245"/>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199" t="s">
        <v>0</v>
      </c>
      <c r="B8" s="203" t="s">
        <v>2</v>
      </c>
      <c r="C8" s="192" t="s">
        <v>3</v>
      </c>
      <c r="D8" s="192" t="s">
        <v>42</v>
      </c>
      <c r="E8" s="202" t="s">
        <v>1</v>
      </c>
      <c r="F8" s="201" t="s">
        <v>50</v>
      </c>
      <c r="G8" s="192" t="s">
        <v>135</v>
      </c>
      <c r="H8" s="193" t="s">
        <v>33</v>
      </c>
      <c r="I8" s="194" t="s">
        <v>5</v>
      </c>
      <c r="J8" s="201" t="s">
        <v>87</v>
      </c>
      <c r="K8" s="201" t="s">
        <v>92</v>
      </c>
      <c r="L8" s="196" t="s">
        <v>45</v>
      </c>
      <c r="M8" s="194" t="s">
        <v>5</v>
      </c>
      <c r="N8" s="192" t="s">
        <v>48</v>
      </c>
      <c r="O8" s="204" t="s">
        <v>11</v>
      </c>
      <c r="P8" s="187" t="s">
        <v>163</v>
      </c>
      <c r="Q8" s="201" t="s">
        <v>12</v>
      </c>
      <c r="R8" s="187" t="s">
        <v>8</v>
      </c>
      <c r="S8" s="187"/>
      <c r="T8" s="187"/>
      <c r="U8" s="187"/>
      <c r="V8" s="187"/>
      <c r="W8" s="187"/>
      <c r="X8" s="191" t="s">
        <v>138</v>
      </c>
      <c r="Y8" s="191" t="s">
        <v>46</v>
      </c>
      <c r="Z8" s="191" t="s">
        <v>5</v>
      </c>
      <c r="AA8" s="191" t="s">
        <v>47</v>
      </c>
      <c r="AB8" s="191" t="s">
        <v>5</v>
      </c>
      <c r="AC8" s="191" t="s">
        <v>49</v>
      </c>
      <c r="AD8" s="204" t="s">
        <v>29</v>
      </c>
      <c r="AE8" s="187" t="s">
        <v>34</v>
      </c>
      <c r="AF8" s="187" t="s">
        <v>35</v>
      </c>
      <c r="AG8" s="187" t="s">
        <v>36</v>
      </c>
      <c r="AH8" s="187" t="s">
        <v>38</v>
      </c>
      <c r="AI8" s="187" t="s">
        <v>37</v>
      </c>
      <c r="AJ8" s="18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46.7" customHeight="1" x14ac:dyDescent="0.25">
      <c r="A9" s="200"/>
      <c r="B9" s="203"/>
      <c r="C9" s="187"/>
      <c r="D9" s="187"/>
      <c r="E9" s="203"/>
      <c r="F9" s="192"/>
      <c r="G9" s="187"/>
      <c r="H9" s="192"/>
      <c r="I9" s="195"/>
      <c r="J9" s="192"/>
      <c r="K9" s="192"/>
      <c r="L9" s="195"/>
      <c r="M9" s="195"/>
      <c r="N9" s="187"/>
      <c r="O9" s="205"/>
      <c r="P9" s="187"/>
      <c r="Q9" s="192"/>
      <c r="R9" s="7" t="s">
        <v>13</v>
      </c>
      <c r="S9" s="7" t="s">
        <v>17</v>
      </c>
      <c r="T9" s="7" t="s">
        <v>28</v>
      </c>
      <c r="U9" s="7" t="s">
        <v>18</v>
      </c>
      <c r="V9" s="7" t="s">
        <v>21</v>
      </c>
      <c r="W9" s="7" t="s">
        <v>24</v>
      </c>
      <c r="X9" s="191"/>
      <c r="Y9" s="191"/>
      <c r="Z9" s="191"/>
      <c r="AA9" s="191"/>
      <c r="AB9" s="191"/>
      <c r="AC9" s="191"/>
      <c r="AD9" s="205"/>
      <c r="AE9" s="187"/>
      <c r="AF9" s="187"/>
      <c r="AG9" s="187"/>
      <c r="AH9" s="187"/>
      <c r="AI9" s="187"/>
      <c r="AJ9" s="187"/>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243" customHeight="1" x14ac:dyDescent="0.25">
      <c r="A10" s="141">
        <v>1</v>
      </c>
      <c r="B10" s="138" t="s">
        <v>132</v>
      </c>
      <c r="C10" s="138"/>
      <c r="D10" s="138" t="s">
        <v>227</v>
      </c>
      <c r="E10" s="142" t="s">
        <v>236</v>
      </c>
      <c r="F10" s="138" t="s">
        <v>123</v>
      </c>
      <c r="G10" s="139" t="s">
        <v>217</v>
      </c>
      <c r="H10" s="140" t="s">
        <v>220</v>
      </c>
      <c r="I10" s="144">
        <f>IF(H10="","",IF(H10="Muy Baja",0.2,IF(H10="Baja",0.4,IF(H10="Media",0.6,IF(H10="Alta",0.8,IF(H10="Muy Alta",1,))))))</f>
        <v>0.8</v>
      </c>
      <c r="J10" s="145" t="s">
        <v>153</v>
      </c>
      <c r="K10" s="144" t="str">
        <f>IF(NOT(ISERROR(MATCH(J10,'Tabla Impacto'!$B$221:$B$223,0))),'Tabla Impacto'!$F$223&amp;"Por favor no seleccionar los criterios de impacto(Afectación Económica o presupuestal y Pérdida Reputacional)",J10)</f>
        <v xml:space="preserve">     El riesgo afecta la imagen de alguna área de la organización</v>
      </c>
      <c r="L10" s="140" t="s">
        <v>223</v>
      </c>
      <c r="M10" s="144">
        <f>IF(L10="","",IF(L10="Leve",0.2,IF(L10="Menor",0.4,IF(L10="Moderado",0.6,IF(L10="Mayor",0.8,IF(L10="Catastrófico",1,))))))</f>
        <v>0.6</v>
      </c>
      <c r="N10" s="143"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3">
        <v>1</v>
      </c>
      <c r="P10" s="146" t="s">
        <v>228</v>
      </c>
      <c r="Q10" s="125" t="s">
        <v>218</v>
      </c>
      <c r="R10" s="126" t="s">
        <v>15</v>
      </c>
      <c r="S10" s="126" t="s">
        <v>9</v>
      </c>
      <c r="T10" s="127"/>
      <c r="U10" s="126" t="s">
        <v>20</v>
      </c>
      <c r="V10" s="126" t="s">
        <v>22</v>
      </c>
      <c r="W10" s="126" t="s">
        <v>120</v>
      </c>
      <c r="X10" s="128">
        <f>IFERROR(IF(Q10="Probabilidad",(I10-(+I10*T10)),IF(Q10="Impacto",I10,"")),"")</f>
        <v>0.8</v>
      </c>
      <c r="Y10" s="129" t="str">
        <f>IFERROR(IF(X10="","",IF(X10&lt;=0.2,"Muy Baja",IF(X10&lt;=0.4,"Baja",IF(X10&lt;=0.6,"Media",IF(X10&lt;=0.8,"Alta","Muy Alta"))))),"")</f>
        <v>Alta</v>
      </c>
      <c r="Z10" s="130">
        <f>+X10</f>
        <v>0.8</v>
      </c>
      <c r="AA10" s="129" t="str">
        <f>IFERROR(IF(AB10="","",IF(AB10&lt;=0.2,"Leve",IF(AB10&lt;=0.4,"Menor",IF(AB10&lt;=0.6,"Moderado",IF(AB10&lt;=0.8,"Mayor","Catastrófico"))))),"")</f>
        <v>Menor</v>
      </c>
      <c r="AB10" s="130">
        <v>0.3</v>
      </c>
      <c r="AC10" s="131"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136</v>
      </c>
      <c r="AE10" s="146" t="s">
        <v>229</v>
      </c>
      <c r="AF10" s="146" t="s">
        <v>219</v>
      </c>
      <c r="AG10" s="147" t="s">
        <v>238</v>
      </c>
      <c r="AH10" s="135"/>
      <c r="AI10" s="133"/>
      <c r="AJ10" s="134"/>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244.5" customHeight="1" x14ac:dyDescent="0.3">
      <c r="A11" s="141">
        <v>2</v>
      </c>
      <c r="B11" s="138" t="s">
        <v>134</v>
      </c>
      <c r="C11" s="138" t="s">
        <v>224</v>
      </c>
      <c r="D11" s="138" t="s">
        <v>230</v>
      </c>
      <c r="E11" s="142" t="s">
        <v>237</v>
      </c>
      <c r="F11" s="138" t="s">
        <v>123</v>
      </c>
      <c r="G11" s="139" t="s">
        <v>225</v>
      </c>
      <c r="H11" s="140" t="s">
        <v>220</v>
      </c>
      <c r="I11" s="144">
        <f>IF(H11="","",IF(H11="Muy Baja",0.2,IF(H11="Baja",0.4,IF(H11="Media",0.6,IF(H11="Alta",0.8,IF(H11="Muy Alta",1,))))))</f>
        <v>0.8</v>
      </c>
      <c r="J11" s="145" t="s">
        <v>153</v>
      </c>
      <c r="K11" s="144" t="str">
        <f>IF(NOT(ISERROR(MATCH(J11,'Tabla Impacto'!$B$221:$B$223,0))),'Tabla Impacto'!$F$223&amp;"Por favor no seleccionar los criterios de impacto(Afectación Económica o presupuestal y Pérdida Reputacional)",J11)</f>
        <v xml:space="preserve">     El riesgo afecta la imagen de alguna área de la organización</v>
      </c>
      <c r="L11" s="140" t="s">
        <v>221</v>
      </c>
      <c r="M11" s="144">
        <f>IF(L11="","",IF(L11="Leve",0.2,IF(L11="Menor",0.4,IF(L11="Moderado",0.6,IF(L11="Mayor",0.8,IF(L11="Catastrófico",1,))))))</f>
        <v>0.8</v>
      </c>
      <c r="N11" s="143" t="str">
        <f>IF(OR(AND(H11="Muy Baja",L11="Leve"),AND(H11="Muy Baja",L11="Menor"),AND(H11="Baja",L11="Leve")),"Bajo",IF(OR(AND(H11="Muy baja",L11="Moderado"),AND(H11="Baja",L11="Menor"),AND(H11="Baja",L11="Moderado"),AND(H11="Media",L11="Leve"),AND(H11="Media",L11="Menor"),AND(H11="Media",L11="Moderado"),AND(H11="Alta",L11="Leve"),AND(H11="Alta",L11="Menor")),"Moderado",IF(OR(AND(H11="Muy Baja",L11="Mayor"),AND(H11="Baja",L11="Mayor"),AND(H11="Media",L11="Mayor"),AND(H11="Alta",L11="Moderado"),AND(H11="Alta",L11="Mayor"),AND(H11="Muy Alta",L11="Leve"),AND(H11="Muy Alta",L11="Menor"),AND(H11="Muy Alta",L11="Moderado"),AND(H11="Muy Alta",L11="Mayor")),"Alto",IF(OR(AND(H11="Muy Baja",L11="Catastrófico"),AND(H11="Baja",L11="Catastrófico"),AND(H11="Media",L11="Catastrófico"),AND(H11="Alta",L11="Catastrófico"),AND(H11="Muy Alta",L11="Catastrófico")),"Extremo",""))))</f>
        <v>Alto</v>
      </c>
      <c r="O11" s="123">
        <v>1</v>
      </c>
      <c r="P11" s="146" t="s">
        <v>231</v>
      </c>
      <c r="Q11" s="125" t="s">
        <v>218</v>
      </c>
      <c r="R11" s="126" t="s">
        <v>16</v>
      </c>
      <c r="S11" s="126" t="s">
        <v>9</v>
      </c>
      <c r="T11" s="127" t="str">
        <f>IF(AND(R11="Preventivo",S11="Automático"),"50%",IF(AND(R11="Preventivo",S11="Manual"),"40%",IF(AND(R11="Detectivo",S11="Automático"),"40%",IF(AND(R11="Detectivo",S11="Manual"),"30%",IF(AND(R11="Correctivo",S11="Automático"),"35%",IF(AND(R11="Correctivo",S11="Manual"),"25%",""))))))</f>
        <v>25%</v>
      </c>
      <c r="U11" s="126" t="s">
        <v>19</v>
      </c>
      <c r="V11" s="126" t="s">
        <v>22</v>
      </c>
      <c r="W11" s="126" t="s">
        <v>119</v>
      </c>
      <c r="X11" s="128">
        <f>IFERROR(IF(Q11="Probabilidad",(I11-(+I11*T11)),IF(Q11="Impacto",I11,"")),"")</f>
        <v>0.60000000000000009</v>
      </c>
      <c r="Y11" s="129" t="str">
        <f>IFERROR(IF(X11="","",IF(X11&lt;=0.2,"Muy Baja",IF(X11&lt;=0.4,"Baja",IF(X11&lt;=0.6,"Media",IF(X11&lt;=0.8,"Alta","Muy Alta"))))),"")</f>
        <v>Media</v>
      </c>
      <c r="Z11" s="130">
        <f>+X11</f>
        <v>0.60000000000000009</v>
      </c>
      <c r="AA11" s="129" t="str">
        <f>IFERROR(IF(AB11="","",IF(AB11&lt;=0.2,"Leve",IF(AB11&lt;=0.4,"Menor",IF(AB11&lt;=0.6,"Moderado",IF(AB11&lt;=0.8,"Mayor","Catastrófico"))))),"")</f>
        <v>Mayor</v>
      </c>
      <c r="AB11" s="130">
        <f>IFERROR(IF(Q11="Impacto",(M11-(+M11*T11)),IF(Q11="Probabilidad",M11,"")),"")</f>
        <v>0.8</v>
      </c>
      <c r="AC11" s="131" t="str">
        <f>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Alto</v>
      </c>
      <c r="AD11" s="132" t="s">
        <v>136</v>
      </c>
      <c r="AE11" s="146" t="s">
        <v>232</v>
      </c>
      <c r="AF11" s="146" t="s">
        <v>219</v>
      </c>
      <c r="AG11" s="147" t="s">
        <v>238</v>
      </c>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244.5" customHeight="1" x14ac:dyDescent="0.3">
      <c r="A12" s="141">
        <v>3</v>
      </c>
      <c r="B12" s="138" t="s">
        <v>132</v>
      </c>
      <c r="C12" s="138"/>
      <c r="D12" s="138" t="s">
        <v>222</v>
      </c>
      <c r="E12" s="142" t="s">
        <v>233</v>
      </c>
      <c r="F12" s="138" t="s">
        <v>123</v>
      </c>
      <c r="G12" s="139" t="s">
        <v>217</v>
      </c>
      <c r="H12" s="140" t="s">
        <v>226</v>
      </c>
      <c r="I12" s="144">
        <f>IF(H12="","",IF(H12="Muy Baja",0.2,IF(H12="Baja",0.4,IF(H12="Media",0.6,IF(H12="Alta",0.8,IF(H12="Muy Alta",1,))))))</f>
        <v>0.6</v>
      </c>
      <c r="J12" s="145" t="s">
        <v>153</v>
      </c>
      <c r="K12" s="144" t="str">
        <f>IF(NOT(ISERROR(MATCH(J12,'Tabla Impacto'!$B$221:$B$223,0))),'Tabla Impacto'!$F$223&amp;"Por favor no seleccionar los criterios de impacto(Afectación Económica o presupuestal y Pérdida Reputacional)",J12)</f>
        <v xml:space="preserve">     El riesgo afecta la imagen de alguna área de la organización</v>
      </c>
      <c r="L12" s="140" t="s">
        <v>223</v>
      </c>
      <c r="M12" s="144">
        <f>IF(L12="","",IF(L12="Leve",0.2,IF(L12="Menor",0.4,IF(L12="Moderado",0.6,IF(L12="Mayor",0.8,IF(L12="Catastrófico",1,))))))</f>
        <v>0.6</v>
      </c>
      <c r="N12" s="143"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23">
        <v>1</v>
      </c>
      <c r="P12" s="146" t="s">
        <v>234</v>
      </c>
      <c r="Q12" s="125" t="s">
        <v>218</v>
      </c>
      <c r="R12" s="126" t="s">
        <v>15</v>
      </c>
      <c r="S12" s="126" t="s">
        <v>9</v>
      </c>
      <c r="T12" s="127" t="str">
        <f>IF(AND(R12="Preventivo",S12="Automático"),"50%",IF(AND(R12="Preventivo",S12="Manual"),"40%",IF(AND(R12="Detectivo",S12="Automático"),"40%",IF(AND(R12="Detectivo",S12="Manual"),"30%",IF(AND(R12="Correctivo",S12="Automático"),"35%",IF(AND(R12="Correctivo",S12="Manual"),"25%",""))))))</f>
        <v>30%</v>
      </c>
      <c r="U12" s="126" t="s">
        <v>20</v>
      </c>
      <c r="V12" s="126" t="s">
        <v>22</v>
      </c>
      <c r="W12" s="126" t="s">
        <v>120</v>
      </c>
      <c r="X12" s="128">
        <f>IFERROR(IF(Q12="Probabilidad",(I12-(+I12*T12)),IF(Q12="Impacto",I12,"")),"")</f>
        <v>0.42</v>
      </c>
      <c r="Y12" s="129" t="str">
        <f>IFERROR(IF(X12="","",IF(X12&lt;=0.2,"Muy Baja",IF(X12&lt;=0.4,"Baja",IF(X12&lt;=0.6,"Media",IF(X12&lt;=0.8,"Alta","Muy Alta"))))),"")</f>
        <v>Media</v>
      </c>
      <c r="Z12" s="130">
        <f>+X12</f>
        <v>0.42</v>
      </c>
      <c r="AA12" s="129" t="str">
        <f>IFERROR(IF(AB12="","",IF(AB12&lt;=0.2,"Leve",IF(AB12&lt;=0.4,"Menor",IF(AB12&lt;=0.6,"Moderado",IF(AB12&lt;=0.8,"Mayor","Catastrófico"))))),"")</f>
        <v>Moderado</v>
      </c>
      <c r="AB12" s="130">
        <f>IFERROR(IF(Q12="Impacto",(M12-(+M12*T12)),IF(Q12="Probabilidad",M12,"")),"")</f>
        <v>0.6</v>
      </c>
      <c r="AC12" s="131"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32" t="s">
        <v>136</v>
      </c>
      <c r="AE12" s="146" t="s">
        <v>235</v>
      </c>
      <c r="AF12" s="146" t="s">
        <v>219</v>
      </c>
      <c r="AG12" s="147" t="s">
        <v>238</v>
      </c>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35.25" customHeight="1" x14ac:dyDescent="0.3">
      <c r="A13" s="213">
        <v>4</v>
      </c>
      <c r="B13" s="216"/>
      <c r="C13" s="216"/>
      <c r="D13" s="216"/>
      <c r="E13" s="219"/>
      <c r="F13" s="216"/>
      <c r="G13" s="222"/>
      <c r="H13" s="225" t="str">
        <f>IF(G13&lt;=0,"",IF(G13&lt;=2,"Muy Baja",IF(G13&lt;=24,"Baja",IF(G13&lt;=500,"Media",IF(G13&lt;=5000,"Alta","Muy Alta")))))</f>
        <v/>
      </c>
      <c r="I13" s="228" t="str">
        <f>IF(H13="","",IF(H13="Muy Baja",0.2,IF(H13="Baja",0.4,IF(H13="Media",0.6,IF(H13="Alta",0.8,IF(H13="Muy Alta",1,))))))</f>
        <v/>
      </c>
      <c r="J13" s="231"/>
      <c r="K13" s="228">
        <f>IF(NOT(ISERROR(MATCH(J13,'Tabla Impacto'!$B$221:$B$223,0))),'Tabla Impacto'!$F$223&amp;"Por favor no seleccionar los criterios de impacto(Afectación Económica o presupuestal y Pérdida Reputacional)",J13)</f>
        <v>0</v>
      </c>
      <c r="L13" s="225" t="str">
        <f>IF(OR(K13='Tabla Impacto'!$C$11,K13='Tabla Impacto'!$D$11),"Leve",IF(OR(K13='Tabla Impacto'!$C$12,K13='Tabla Impacto'!$D$12),"Menor",IF(OR(K13='Tabla Impacto'!$C$13,K13='Tabla Impacto'!$D$13),"Moderado",IF(OR(K13='Tabla Impacto'!$C$14,K13='Tabla Impacto'!$D$14),"Mayor",IF(OR(K13='Tabla Impacto'!$C$15,K13='Tabla Impacto'!$D$15),"Catastrófico","")))))</f>
        <v/>
      </c>
      <c r="M13" s="228" t="str">
        <f>IF(L13="","",IF(L13="Leve",0.2,IF(L13="Menor",0.4,IF(L13="Moderado",0.6,IF(L13="Mayor",0.8,IF(L13="Catastrófico",1,))))))</f>
        <v/>
      </c>
      <c r="N13" s="234" t="str">
        <f>IF(OR(AND(H13="Muy Baja",L13="Leve"),AND(H13="Muy Baja",L13="Menor"),AND(H13="Baja",L13="Leve")),"Bajo",IF(OR(AND(H13="Muy baja",L13="Moderado"),AND(H13="Baja",L13="Menor"),AND(H13="Baja",L13="Moderado"),AND(H13="Media",L13="Leve"),AND(H13="Media",L13="Menor"),AND(H13="Media",L13="Moderado"),AND(H13="Alta",L13="Leve"),AND(H13="Alta",L13="Menor")),"Moderado",IF(OR(AND(H13="Muy Baja",L13="Mayor"),AND(H13="Baja",L13="Mayor"),AND(H13="Media",L13="Mayor"),AND(H13="Alta",L13="Moderado"),AND(H13="Alta",L13="Mayor"),AND(H13="Muy Alta",L13="Leve"),AND(H13="Muy Alta",L13="Menor"),AND(H13="Muy Alta",L13="Moderado"),AND(H13="Muy Alta",L13="Mayor")),"Alto",IF(OR(AND(H13="Muy Baja",L13="Catastrófico"),AND(H13="Baja",L13="Catastrófico"),AND(H13="Media",L13="Catastrófico"),AND(H13="Alta",L13="Catastrófico"),AND(H13="Muy Alta",L13="Catastrófico")),"Extremo",""))))</f>
        <v/>
      </c>
      <c r="O13" s="123">
        <v>1</v>
      </c>
      <c r="P13" s="124"/>
      <c r="Q13" s="125" t="str">
        <f>IF(OR(R13="Preventivo",R13="Detectivo"),"Probabilidad",IF(R13="Correctivo","Impacto",""))</f>
        <v/>
      </c>
      <c r="R13" s="126"/>
      <c r="S13" s="126"/>
      <c r="T13" s="127" t="str">
        <f>IF(AND(R13="Preventivo",S13="Automático"),"50%",IF(AND(R13="Preventivo",S13="Manual"),"40%",IF(AND(R13="Detectivo",S13="Automático"),"40%",IF(AND(R13="Detectivo",S13="Manual"),"30%",IF(AND(R13="Correctivo",S13="Automático"),"35%",IF(AND(R13="Correctivo",S13="Manual"),"25%",""))))))</f>
        <v/>
      </c>
      <c r="U13" s="126"/>
      <c r="V13" s="126"/>
      <c r="W13" s="126"/>
      <c r="X13" s="128" t="str">
        <f>IFERROR(IF(Q13="Probabilidad",(I13-(+I13*T13)),IF(Q13="Impacto",I13,"")),"")</f>
        <v/>
      </c>
      <c r="Y13" s="129" t="str">
        <f>IFERROR(IF(X13="","",IF(X13&lt;=0.2,"Muy Baja",IF(X13&lt;=0.4,"Baja",IF(X13&lt;=0.6,"Media",IF(X13&lt;=0.8,"Alta","Muy Alta"))))),"")</f>
        <v/>
      </c>
      <c r="Z13" s="130" t="str">
        <f>+X13</f>
        <v/>
      </c>
      <c r="AA13" s="129" t="str">
        <f>IFERROR(IF(AB13="","",IF(AB13&lt;=0.2,"Leve",IF(AB13&lt;=0.4,"Menor",IF(AB13&lt;=0.6,"Moderado",IF(AB13&lt;=0.8,"Mayor","Catastrófico"))))),"")</f>
        <v/>
      </c>
      <c r="AB13" s="130" t="str">
        <f>IFERROR(IF(Q13="Impacto",(M13-(+M13*T13)),IF(Q13="Probabilidad",M13,"")),"")</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35.25" customHeight="1" x14ac:dyDescent="0.3">
      <c r="A14" s="214"/>
      <c r="B14" s="217"/>
      <c r="C14" s="217"/>
      <c r="D14" s="217"/>
      <c r="E14" s="220"/>
      <c r="F14" s="217"/>
      <c r="G14" s="223"/>
      <c r="H14" s="226"/>
      <c r="I14" s="229"/>
      <c r="J14" s="232"/>
      <c r="K14" s="229">
        <f t="shared" ref="K14:K18" si="0">IF(NOT(ISERROR(MATCH(J14,_xlfn.ANCHORARRAY(E25),0))),I27&amp;"Por favor no seleccionar los criterios de impacto",J14)</f>
        <v>0</v>
      </c>
      <c r="L14" s="226"/>
      <c r="M14" s="229"/>
      <c r="N14" s="235"/>
      <c r="O14" s="123">
        <v>2</v>
      </c>
      <c r="P14" s="124"/>
      <c r="Q14" s="125" t="str">
        <f>IF(OR(R14="Preventivo",R14="Detectivo"),"Probabilidad",IF(R14="Correctivo","Impacto",""))</f>
        <v/>
      </c>
      <c r="R14" s="126"/>
      <c r="S14" s="126"/>
      <c r="T14" s="127" t="str">
        <f t="shared" ref="T14:T18" si="1">IF(AND(R14="Preventivo",S14="Automático"),"50%",IF(AND(R14="Preventivo",S14="Manual"),"40%",IF(AND(R14="Detectivo",S14="Automático"),"40%",IF(AND(R14="Detectivo",S14="Manual"),"30%",IF(AND(R14="Correctivo",S14="Automático"),"35%",IF(AND(R14="Correctivo",S14="Manual"),"25%",""))))))</f>
        <v/>
      </c>
      <c r="U14" s="126"/>
      <c r="V14" s="126"/>
      <c r="W14" s="126"/>
      <c r="X14" s="128" t="str">
        <f>IFERROR(IF(AND(Q13="Probabilidad",Q14="Probabilidad"),(Z13-(+Z13*T14)),IF(Q14="Probabilidad",(I13-(+I13*T14)),IF(Q14="Impacto",Z13,""))),"")</f>
        <v/>
      </c>
      <c r="Y14" s="129" t="str">
        <f t="shared" ref="Y14:Y54" si="2">IFERROR(IF(X14="","",IF(X14&lt;=0.2,"Muy Baja",IF(X14&lt;=0.4,"Baja",IF(X14&lt;=0.6,"Media",IF(X14&lt;=0.8,"Alta","Muy Alta"))))),"")</f>
        <v/>
      </c>
      <c r="Z14" s="130" t="str">
        <f t="shared" ref="Z14:Z18" si="3">+X14</f>
        <v/>
      </c>
      <c r="AA14" s="129" t="str">
        <f t="shared" ref="AA14:AA54" si="4">IFERROR(IF(AB14="","",IF(AB14&lt;=0.2,"Leve",IF(AB14&lt;=0.4,"Menor",IF(AB14&lt;=0.6,"Moderado",IF(AB14&lt;=0.8,"Mayor","Catastrófico"))))),"")</f>
        <v/>
      </c>
      <c r="AB14" s="130" t="str">
        <f>IFERROR(IF(AND(Q13="Impacto",Q14="Impacto"),(AB13-(+AB13*T14)),IF(Q14="Impacto",(M13-(+M13*T14)),IF(Q14="Probabilidad",AB13,""))),"")</f>
        <v/>
      </c>
      <c r="AC14" s="131" t="str">
        <f t="shared" ref="AC14:AC15" si="5">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35.25" customHeight="1" x14ac:dyDescent="0.3">
      <c r="A15" s="214"/>
      <c r="B15" s="217"/>
      <c r="C15" s="217"/>
      <c r="D15" s="217"/>
      <c r="E15" s="220"/>
      <c r="F15" s="217"/>
      <c r="G15" s="223"/>
      <c r="H15" s="226"/>
      <c r="I15" s="229"/>
      <c r="J15" s="232"/>
      <c r="K15" s="229">
        <f t="shared" si="0"/>
        <v>0</v>
      </c>
      <c r="L15" s="226"/>
      <c r="M15" s="229"/>
      <c r="N15" s="235"/>
      <c r="O15" s="123">
        <v>3</v>
      </c>
      <c r="P15" s="136"/>
      <c r="Q15" s="125" t="str">
        <f>IF(OR(R15="Preventivo",R15="Detectivo"),"Probabilidad",IF(R15="Correctivo","Impacto",""))</f>
        <v/>
      </c>
      <c r="R15" s="126"/>
      <c r="S15" s="126"/>
      <c r="T15" s="127" t="str">
        <f t="shared" si="1"/>
        <v/>
      </c>
      <c r="U15" s="126"/>
      <c r="V15" s="126"/>
      <c r="W15" s="126"/>
      <c r="X15" s="128" t="str">
        <f>IFERROR(IF(AND(Q14="Probabilidad",Q15="Probabilidad"),(Z14-(+Z14*T15)),IF(AND(Q14="Impacto",Q15="Probabilidad"),(Z13-(+Z13*T15)),IF(Q15="Impacto",Z14,""))),"")</f>
        <v/>
      </c>
      <c r="Y15" s="129" t="str">
        <f t="shared" si="2"/>
        <v/>
      </c>
      <c r="Z15" s="130" t="str">
        <f t="shared" si="3"/>
        <v/>
      </c>
      <c r="AA15" s="129" t="str">
        <f t="shared" si="4"/>
        <v/>
      </c>
      <c r="AB15" s="130" t="str">
        <f>IFERROR(IF(AND(Q14="Impacto",Q15="Impacto"),(AB14-(+AB14*T15)),IF(AND(Q14="Probabilidad",Q15="Impacto"),(AB13-(+AB13*T15)),IF(Q15="Probabilidad",AB14,""))),"")</f>
        <v/>
      </c>
      <c r="AC15" s="131" t="str">
        <f t="shared" si="5"/>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35.25" customHeight="1" x14ac:dyDescent="0.3">
      <c r="A16" s="214"/>
      <c r="B16" s="217"/>
      <c r="C16" s="217"/>
      <c r="D16" s="217"/>
      <c r="E16" s="220"/>
      <c r="F16" s="217"/>
      <c r="G16" s="223"/>
      <c r="H16" s="226"/>
      <c r="I16" s="229"/>
      <c r="J16" s="232"/>
      <c r="K16" s="229">
        <f t="shared" si="0"/>
        <v>0</v>
      </c>
      <c r="L16" s="226"/>
      <c r="M16" s="229"/>
      <c r="N16" s="235"/>
      <c r="O16" s="123">
        <v>4</v>
      </c>
      <c r="P16" s="124"/>
      <c r="Q16" s="125" t="str">
        <f t="shared" ref="Q16:Q18" si="6">IF(OR(R16="Preventivo",R16="Detectivo"),"Probabilidad",IF(R16="Correctivo","Impacto",""))</f>
        <v/>
      </c>
      <c r="R16" s="126"/>
      <c r="S16" s="126"/>
      <c r="T16" s="127" t="str">
        <f t="shared" si="1"/>
        <v/>
      </c>
      <c r="U16" s="126"/>
      <c r="V16" s="126"/>
      <c r="W16" s="126"/>
      <c r="X16" s="128" t="str">
        <f t="shared" ref="X16:X18" si="7">IFERROR(IF(AND(Q15="Probabilidad",Q16="Probabilidad"),(Z15-(+Z15*T16)),IF(AND(Q15="Impacto",Q16="Probabilidad"),(Z14-(+Z14*T16)),IF(Q16="Impacto",Z15,""))),"")</f>
        <v/>
      </c>
      <c r="Y16" s="129" t="str">
        <f t="shared" si="2"/>
        <v/>
      </c>
      <c r="Z16" s="130" t="str">
        <f t="shared" si="3"/>
        <v/>
      </c>
      <c r="AA16" s="129" t="str">
        <f t="shared" si="4"/>
        <v/>
      </c>
      <c r="AB16" s="130" t="str">
        <f t="shared" ref="AB16:AB18" si="8">IFERROR(IF(AND(Q15="Impacto",Q16="Impacto"),(AB15-(+AB15*T16)),IF(AND(Q15="Probabilidad",Q16="Impacto"),(AB14-(+AB14*T16)),IF(Q16="Probabilidad",AB15,""))),"")</f>
        <v/>
      </c>
      <c r="AC16" s="131"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2"/>
      <c r="AE16" s="133"/>
      <c r="AF16" s="134"/>
      <c r="AG16" s="135"/>
      <c r="AH16" s="135"/>
      <c r="AI16" s="133"/>
      <c r="AJ16" s="134"/>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
      <c r="A17" s="214"/>
      <c r="B17" s="217"/>
      <c r="C17" s="217"/>
      <c r="D17" s="217"/>
      <c r="E17" s="220"/>
      <c r="F17" s="217"/>
      <c r="G17" s="223"/>
      <c r="H17" s="226"/>
      <c r="I17" s="229"/>
      <c r="J17" s="232"/>
      <c r="K17" s="229">
        <f t="shared" si="0"/>
        <v>0</v>
      </c>
      <c r="L17" s="226"/>
      <c r="M17" s="229"/>
      <c r="N17" s="235"/>
      <c r="O17" s="123">
        <v>5</v>
      </c>
      <c r="P17" s="124"/>
      <c r="Q17" s="125" t="str">
        <f t="shared" si="6"/>
        <v/>
      </c>
      <c r="R17" s="126"/>
      <c r="S17" s="126"/>
      <c r="T17" s="127" t="str">
        <f t="shared" si="1"/>
        <v/>
      </c>
      <c r="U17" s="126"/>
      <c r="V17" s="126"/>
      <c r="W17" s="126"/>
      <c r="X17" s="137" t="str">
        <f t="shared" si="7"/>
        <v/>
      </c>
      <c r="Y17" s="129" t="str">
        <f>IFERROR(IF(X17="","",IF(X17&lt;=0.2,"Muy Baja",IF(X17&lt;=0.4,"Baja",IF(X17&lt;=0.6,"Media",IF(X17&lt;=0.8,"Alta","Muy Alta"))))),"")</f>
        <v/>
      </c>
      <c r="Z17" s="130" t="str">
        <f t="shared" si="3"/>
        <v/>
      </c>
      <c r="AA17" s="129" t="str">
        <f t="shared" si="4"/>
        <v/>
      </c>
      <c r="AB17" s="130" t="str">
        <f t="shared" si="8"/>
        <v/>
      </c>
      <c r="AC17" s="131" t="str">
        <f t="shared" ref="AC17:AC18" si="9">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5.25" customHeight="1" x14ac:dyDescent="0.3">
      <c r="A18" s="215"/>
      <c r="B18" s="218"/>
      <c r="C18" s="218"/>
      <c r="D18" s="218"/>
      <c r="E18" s="221"/>
      <c r="F18" s="218"/>
      <c r="G18" s="224"/>
      <c r="H18" s="227"/>
      <c r="I18" s="230"/>
      <c r="J18" s="233"/>
      <c r="K18" s="230">
        <f t="shared" si="0"/>
        <v>0</v>
      </c>
      <c r="L18" s="227"/>
      <c r="M18" s="230"/>
      <c r="N18" s="236"/>
      <c r="O18" s="123">
        <v>6</v>
      </c>
      <c r="P18" s="124"/>
      <c r="Q18" s="125" t="str">
        <f t="shared" si="6"/>
        <v/>
      </c>
      <c r="R18" s="126"/>
      <c r="S18" s="126"/>
      <c r="T18" s="127" t="str">
        <f t="shared" si="1"/>
        <v/>
      </c>
      <c r="U18" s="126"/>
      <c r="V18" s="126"/>
      <c r="W18" s="126"/>
      <c r="X18" s="128" t="str">
        <f t="shared" si="7"/>
        <v/>
      </c>
      <c r="Y18" s="129" t="str">
        <f t="shared" si="2"/>
        <v/>
      </c>
      <c r="Z18" s="130" t="str">
        <f t="shared" si="3"/>
        <v/>
      </c>
      <c r="AA18" s="129" t="str">
        <f t="shared" si="4"/>
        <v/>
      </c>
      <c r="AB18" s="130" t="str">
        <f t="shared" si="8"/>
        <v/>
      </c>
      <c r="AC18" s="131" t="str">
        <f t="shared" si="9"/>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
      <c r="A19" s="213">
        <v>5</v>
      </c>
      <c r="B19" s="216"/>
      <c r="C19" s="216"/>
      <c r="D19" s="216"/>
      <c r="E19" s="219"/>
      <c r="F19" s="216"/>
      <c r="G19" s="222"/>
      <c r="H19" s="225" t="str">
        <f>IF(G19&lt;=0,"",IF(G19&lt;=2,"Muy Baja",IF(G19&lt;=24,"Baja",IF(G19&lt;=500,"Media",IF(G19&lt;=5000,"Alta","Muy Alta")))))</f>
        <v/>
      </c>
      <c r="I19" s="228" t="str">
        <f>IF(H19="","",IF(H19="Muy Baja",0.2,IF(H19="Baja",0.4,IF(H19="Media",0.6,IF(H19="Alta",0.8,IF(H19="Muy Alta",1,))))))</f>
        <v/>
      </c>
      <c r="J19" s="231"/>
      <c r="K19" s="228">
        <f>IF(NOT(ISERROR(MATCH(J19,'Tabla Impacto'!$B$221:$B$223,0))),'Tabla Impacto'!$F$223&amp;"Por favor no seleccionar los criterios de impacto(Afectación Económica o presupuestal y Pérdida Reputacional)",J19)</f>
        <v>0</v>
      </c>
      <c r="L19" s="225" t="str">
        <f>IF(OR(K19='Tabla Impacto'!$C$11,K19='Tabla Impacto'!$D$11),"Leve",IF(OR(K19='Tabla Impacto'!$C$12,K19='Tabla Impacto'!$D$12),"Menor",IF(OR(K19='Tabla Impacto'!$C$13,K19='Tabla Impacto'!$D$13),"Moderado",IF(OR(K19='Tabla Impacto'!$C$14,K19='Tabla Impacto'!$D$14),"Mayor",IF(OR(K19='Tabla Impacto'!$C$15,K19='Tabla Impacto'!$D$15),"Catastrófico","")))))</f>
        <v/>
      </c>
      <c r="M19" s="228" t="str">
        <f>IF(L19="","",IF(L19="Leve",0.2,IF(L19="Menor",0.4,IF(L19="Moderado",0.6,IF(L19="Mayor",0.8,IF(L19="Catastrófico",1,))))))</f>
        <v/>
      </c>
      <c r="N19" s="234" t="str">
        <f>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
      </c>
      <c r="O19" s="123">
        <v>1</v>
      </c>
      <c r="P19" s="124"/>
      <c r="Q19" s="125" t="str">
        <f>IF(OR(R19="Preventivo",R19="Detectivo"),"Probabilidad",IF(R19="Correctivo","Impacto",""))</f>
        <v/>
      </c>
      <c r="R19" s="126"/>
      <c r="S19" s="126"/>
      <c r="T19" s="127" t="str">
        <f>IF(AND(R19="Preventivo",S19="Automático"),"50%",IF(AND(R19="Preventivo",S19="Manual"),"40%",IF(AND(R19="Detectivo",S19="Automático"),"40%",IF(AND(R19="Detectivo",S19="Manual"),"30%",IF(AND(R19="Correctivo",S19="Automático"),"35%",IF(AND(R19="Correctivo",S19="Manual"),"25%",""))))))</f>
        <v/>
      </c>
      <c r="U19" s="126"/>
      <c r="V19" s="126"/>
      <c r="W19" s="126"/>
      <c r="X19" s="128" t="str">
        <f>IFERROR(IF(Q19="Probabilidad",(I19-(+I19*T19)),IF(Q19="Impacto",I19,"")),"")</f>
        <v/>
      </c>
      <c r="Y19" s="129" t="str">
        <f>IFERROR(IF(X19="","",IF(X19&lt;=0.2,"Muy Baja",IF(X19&lt;=0.4,"Baja",IF(X19&lt;=0.6,"Media",IF(X19&lt;=0.8,"Alta","Muy Alta"))))),"")</f>
        <v/>
      </c>
      <c r="Z19" s="130" t="str">
        <f>+X19</f>
        <v/>
      </c>
      <c r="AA19" s="129" t="str">
        <f>IFERROR(IF(AB19="","",IF(AB19&lt;=0.2,"Leve",IF(AB19&lt;=0.4,"Menor",IF(AB19&lt;=0.6,"Moderado",IF(AB19&lt;=0.8,"Mayor","Catastrófico"))))),"")</f>
        <v/>
      </c>
      <c r="AB19" s="130" t="str">
        <f>IFERROR(IF(Q19="Impacto",(M19-(+M19*T19)),IF(Q19="Probabilidad",M19,"")),"")</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
      <c r="A20" s="214"/>
      <c r="B20" s="217"/>
      <c r="C20" s="217"/>
      <c r="D20" s="217"/>
      <c r="E20" s="220"/>
      <c r="F20" s="217"/>
      <c r="G20" s="223"/>
      <c r="H20" s="226"/>
      <c r="I20" s="229"/>
      <c r="J20" s="232"/>
      <c r="K20" s="229">
        <f t="shared" ref="K20:K24" si="10">IF(NOT(ISERROR(MATCH(J20,_xlfn.ANCHORARRAY(E31),0))),I33&amp;"Por favor no seleccionar los criterios de impacto",J20)</f>
        <v>0</v>
      </c>
      <c r="L20" s="226"/>
      <c r="M20" s="229"/>
      <c r="N20" s="235"/>
      <c r="O20" s="123">
        <v>2</v>
      </c>
      <c r="P20" s="124"/>
      <c r="Q20" s="125" t="str">
        <f>IF(OR(R20="Preventivo",R20="Detectivo"),"Probabilidad",IF(R20="Correctivo","Impacto",""))</f>
        <v/>
      </c>
      <c r="R20" s="126"/>
      <c r="S20" s="126"/>
      <c r="T20" s="127" t="str">
        <f t="shared" ref="T20:T24" si="11">IF(AND(R20="Preventivo",S20="Automático"),"50%",IF(AND(R20="Preventivo",S20="Manual"),"40%",IF(AND(R20="Detectivo",S20="Automático"),"40%",IF(AND(R20="Detectivo",S20="Manual"),"30%",IF(AND(R20="Correctivo",S20="Automático"),"35%",IF(AND(R20="Correctivo",S20="Manual"),"25%",""))))))</f>
        <v/>
      </c>
      <c r="U20" s="126"/>
      <c r="V20" s="126"/>
      <c r="W20" s="126"/>
      <c r="X20" s="128" t="str">
        <f>IFERROR(IF(AND(Q19="Probabilidad",Q20="Probabilidad"),(Z19-(+Z19*T20)),IF(Q20="Probabilidad",(I19-(+I19*T20)),IF(Q20="Impacto",Z19,""))),"")</f>
        <v/>
      </c>
      <c r="Y20" s="129" t="str">
        <f t="shared" si="2"/>
        <v/>
      </c>
      <c r="Z20" s="130" t="str">
        <f t="shared" ref="Z20:Z24" si="12">+X20</f>
        <v/>
      </c>
      <c r="AA20" s="129" t="str">
        <f t="shared" si="4"/>
        <v/>
      </c>
      <c r="AB20" s="130" t="str">
        <f>IFERROR(IF(AND(Q19="Impacto",Q20="Impacto"),(AB19-(+AB19*T20)),IF(Q20="Impacto",(M19-(+M19*T20)),IF(Q20="Probabilidad",AB19,""))),"")</f>
        <v/>
      </c>
      <c r="AC20" s="131" t="str">
        <f t="shared" ref="AC20:AC21" si="13">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
      <c r="A21" s="214"/>
      <c r="B21" s="217"/>
      <c r="C21" s="217"/>
      <c r="D21" s="217"/>
      <c r="E21" s="220"/>
      <c r="F21" s="217"/>
      <c r="G21" s="223"/>
      <c r="H21" s="226"/>
      <c r="I21" s="229"/>
      <c r="J21" s="232"/>
      <c r="K21" s="229">
        <f t="shared" si="10"/>
        <v>0</v>
      </c>
      <c r="L21" s="226"/>
      <c r="M21" s="229"/>
      <c r="N21" s="235"/>
      <c r="O21" s="123">
        <v>3</v>
      </c>
      <c r="P21" s="136"/>
      <c r="Q21" s="125" t="str">
        <f>IF(OR(R21="Preventivo",R21="Detectivo"),"Probabilidad",IF(R21="Correctivo","Impacto",""))</f>
        <v/>
      </c>
      <c r="R21" s="126"/>
      <c r="S21" s="126"/>
      <c r="T21" s="127" t="str">
        <f t="shared" si="11"/>
        <v/>
      </c>
      <c r="U21" s="126"/>
      <c r="V21" s="126"/>
      <c r="W21" s="126"/>
      <c r="X21" s="128" t="str">
        <f>IFERROR(IF(AND(Q20="Probabilidad",Q21="Probabilidad"),(Z20-(+Z20*T21)),IF(AND(Q20="Impacto",Q21="Probabilidad"),(Z19-(+Z19*T21)),IF(Q21="Impacto",Z20,""))),"")</f>
        <v/>
      </c>
      <c r="Y21" s="129" t="str">
        <f t="shared" si="2"/>
        <v/>
      </c>
      <c r="Z21" s="130" t="str">
        <f t="shared" si="12"/>
        <v/>
      </c>
      <c r="AA21" s="129" t="str">
        <f t="shared" si="4"/>
        <v/>
      </c>
      <c r="AB21" s="130" t="str">
        <f>IFERROR(IF(AND(Q20="Impacto",Q21="Impacto"),(AB20-(+AB20*T21)),IF(AND(Q20="Probabilidad",Q21="Impacto"),(AB19-(+AB19*T21)),IF(Q21="Probabilidad",AB20,""))),"")</f>
        <v/>
      </c>
      <c r="AC21" s="131" t="str">
        <f t="shared" si="13"/>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
      <c r="A22" s="214"/>
      <c r="B22" s="217"/>
      <c r="C22" s="217"/>
      <c r="D22" s="217"/>
      <c r="E22" s="220"/>
      <c r="F22" s="217"/>
      <c r="G22" s="223"/>
      <c r="H22" s="226"/>
      <c r="I22" s="229"/>
      <c r="J22" s="232"/>
      <c r="K22" s="229">
        <f t="shared" si="10"/>
        <v>0</v>
      </c>
      <c r="L22" s="226"/>
      <c r="M22" s="229"/>
      <c r="N22" s="235"/>
      <c r="O22" s="123">
        <v>4</v>
      </c>
      <c r="P22" s="124"/>
      <c r="Q22" s="125" t="str">
        <f t="shared" ref="Q22:Q24" si="14">IF(OR(R22="Preventivo",R22="Detectivo"),"Probabilidad",IF(R22="Correctivo","Impacto",""))</f>
        <v/>
      </c>
      <c r="R22" s="126"/>
      <c r="S22" s="126"/>
      <c r="T22" s="127" t="str">
        <f t="shared" si="11"/>
        <v/>
      </c>
      <c r="U22" s="126"/>
      <c r="V22" s="126"/>
      <c r="W22" s="126"/>
      <c r="X22" s="128" t="str">
        <f t="shared" ref="X22:X24" si="15">IFERROR(IF(AND(Q21="Probabilidad",Q22="Probabilidad"),(Z21-(+Z21*T22)),IF(AND(Q21="Impacto",Q22="Probabilidad"),(Z20-(+Z20*T22)),IF(Q22="Impacto",Z21,""))),"")</f>
        <v/>
      </c>
      <c r="Y22" s="129" t="str">
        <f t="shared" si="2"/>
        <v/>
      </c>
      <c r="Z22" s="130" t="str">
        <f t="shared" si="12"/>
        <v/>
      </c>
      <c r="AA22" s="129" t="str">
        <f t="shared" si="4"/>
        <v/>
      </c>
      <c r="AB22" s="130" t="str">
        <f t="shared" ref="AB22:AB24" si="16">IFERROR(IF(AND(Q21="Impacto",Q22="Impacto"),(AB21-(+AB21*T22)),IF(AND(Q21="Probabilidad",Q22="Impacto"),(AB20-(+AB20*T22)),IF(Q22="Probabilidad",AB21,""))),"")</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
      <c r="A23" s="214"/>
      <c r="B23" s="217"/>
      <c r="C23" s="217"/>
      <c r="D23" s="217"/>
      <c r="E23" s="220"/>
      <c r="F23" s="217"/>
      <c r="G23" s="223"/>
      <c r="H23" s="226"/>
      <c r="I23" s="229"/>
      <c r="J23" s="232"/>
      <c r="K23" s="229">
        <f t="shared" si="10"/>
        <v>0</v>
      </c>
      <c r="L23" s="226"/>
      <c r="M23" s="229"/>
      <c r="N23" s="235"/>
      <c r="O23" s="123">
        <v>5</v>
      </c>
      <c r="P23" s="124"/>
      <c r="Q23" s="125" t="str">
        <f t="shared" si="14"/>
        <v/>
      </c>
      <c r="R23" s="126"/>
      <c r="S23" s="126"/>
      <c r="T23" s="127" t="str">
        <f t="shared" si="11"/>
        <v/>
      </c>
      <c r="U23" s="126"/>
      <c r="V23" s="126"/>
      <c r="W23" s="126"/>
      <c r="X23" s="128" t="str">
        <f t="shared" si="15"/>
        <v/>
      </c>
      <c r="Y23" s="129" t="str">
        <f t="shared" si="2"/>
        <v/>
      </c>
      <c r="Z23" s="130" t="str">
        <f t="shared" si="12"/>
        <v/>
      </c>
      <c r="AA23" s="129" t="str">
        <f t="shared" si="4"/>
        <v/>
      </c>
      <c r="AB23" s="130" t="str">
        <f t="shared" si="16"/>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35.25" customHeight="1" x14ac:dyDescent="0.3">
      <c r="A24" s="215"/>
      <c r="B24" s="218"/>
      <c r="C24" s="218"/>
      <c r="D24" s="218"/>
      <c r="E24" s="221"/>
      <c r="F24" s="218"/>
      <c r="G24" s="224"/>
      <c r="H24" s="227"/>
      <c r="I24" s="230"/>
      <c r="J24" s="233"/>
      <c r="K24" s="230">
        <f t="shared" si="10"/>
        <v>0</v>
      </c>
      <c r="L24" s="227"/>
      <c r="M24" s="230"/>
      <c r="N24" s="236"/>
      <c r="O24" s="123">
        <v>6</v>
      </c>
      <c r="P24" s="124"/>
      <c r="Q24" s="125" t="str">
        <f t="shared" si="14"/>
        <v/>
      </c>
      <c r="R24" s="126"/>
      <c r="S24" s="126"/>
      <c r="T24" s="127" t="str">
        <f t="shared" si="11"/>
        <v/>
      </c>
      <c r="U24" s="126"/>
      <c r="V24" s="126"/>
      <c r="W24" s="126"/>
      <c r="X24" s="128" t="str">
        <f t="shared" si="15"/>
        <v/>
      </c>
      <c r="Y24" s="129" t="str">
        <f t="shared" si="2"/>
        <v/>
      </c>
      <c r="Z24" s="130" t="str">
        <f t="shared" si="12"/>
        <v/>
      </c>
      <c r="AA24" s="129" t="str">
        <f t="shared" si="4"/>
        <v/>
      </c>
      <c r="AB24" s="130" t="str">
        <f t="shared" si="16"/>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
      <c r="A25" s="213">
        <v>6</v>
      </c>
      <c r="B25" s="216"/>
      <c r="C25" s="216"/>
      <c r="D25" s="216"/>
      <c r="E25" s="219"/>
      <c r="F25" s="216"/>
      <c r="G25" s="222"/>
      <c r="H25" s="225" t="str">
        <f>IF(G25&lt;=0,"",IF(G25&lt;=2,"Muy Baja",IF(G25&lt;=24,"Baja",IF(G25&lt;=500,"Media",IF(G25&lt;=5000,"Alta","Muy Alta")))))</f>
        <v/>
      </c>
      <c r="I25" s="228" t="str">
        <f>IF(H25="","",IF(H25="Muy Baja",0.2,IF(H25="Baja",0.4,IF(H25="Media",0.6,IF(H25="Alta",0.8,IF(H25="Muy Alta",1,))))))</f>
        <v/>
      </c>
      <c r="J25" s="231"/>
      <c r="K25" s="228">
        <f>IF(NOT(ISERROR(MATCH(J25,'Tabla Impacto'!$B$221:$B$223,0))),'Tabla Impacto'!$F$223&amp;"Por favor no seleccionar los criterios de impacto(Afectación Económica o presupuestal y Pérdida Reputacional)",J25)</f>
        <v>0</v>
      </c>
      <c r="L25" s="225" t="str">
        <f>IF(OR(K25='Tabla Impacto'!$C$11,K25='Tabla Impacto'!$D$11),"Leve",IF(OR(K25='Tabla Impacto'!$C$12,K25='Tabla Impacto'!$D$12),"Menor",IF(OR(K25='Tabla Impacto'!$C$13,K25='Tabla Impacto'!$D$13),"Moderado",IF(OR(K25='Tabla Impacto'!$C$14,K25='Tabla Impacto'!$D$14),"Mayor",IF(OR(K25='Tabla Impacto'!$C$15,K25='Tabla Impacto'!$D$15),"Catastrófico","")))))</f>
        <v/>
      </c>
      <c r="M25" s="228" t="str">
        <f>IF(L25="","",IF(L25="Leve",0.2,IF(L25="Menor",0.4,IF(L25="Moderado",0.6,IF(L25="Mayor",0.8,IF(L25="Catastrófico",1,))))))</f>
        <v/>
      </c>
      <c r="N25" s="234"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
      </c>
      <c r="O25" s="123">
        <v>1</v>
      </c>
      <c r="P25" s="124"/>
      <c r="Q25" s="125" t="str">
        <f>IF(OR(R25="Preventivo",R25="Detectivo"),"Probabilidad",IF(R25="Correctivo","Impacto",""))</f>
        <v/>
      </c>
      <c r="R25" s="126"/>
      <c r="S25" s="126"/>
      <c r="T25" s="127" t="str">
        <f>IF(AND(R25="Preventivo",S25="Automático"),"50%",IF(AND(R25="Preventivo",S25="Manual"),"40%",IF(AND(R25="Detectivo",S25="Automático"),"40%",IF(AND(R25="Detectivo",S25="Manual"),"30%",IF(AND(R25="Correctivo",S25="Automático"),"35%",IF(AND(R25="Correctivo",S25="Manual"),"25%",""))))))</f>
        <v/>
      </c>
      <c r="U25" s="126"/>
      <c r="V25" s="126"/>
      <c r="W25" s="126"/>
      <c r="X25" s="128" t="str">
        <f>IFERROR(IF(Q25="Probabilidad",(I25-(+I25*T25)),IF(Q25="Impacto",I25,"")),"")</f>
        <v/>
      </c>
      <c r="Y25" s="129" t="str">
        <f>IFERROR(IF(X25="","",IF(X25&lt;=0.2,"Muy Baja",IF(X25&lt;=0.4,"Baja",IF(X25&lt;=0.6,"Media",IF(X25&lt;=0.8,"Alta","Muy Alta"))))),"")</f>
        <v/>
      </c>
      <c r="Z25" s="130" t="str">
        <f>+X25</f>
        <v/>
      </c>
      <c r="AA25" s="129" t="str">
        <f>IFERROR(IF(AB25="","",IF(AB25&lt;=0.2,"Leve",IF(AB25&lt;=0.4,"Menor",IF(AB25&lt;=0.6,"Moderado",IF(AB25&lt;=0.8,"Mayor","Catastrófico"))))),"")</f>
        <v/>
      </c>
      <c r="AB25" s="130" t="str">
        <f>IFERROR(IF(Q25="Impacto",(M25-(+M25*T25)),IF(Q25="Probabilidad",M25,"")),"")</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
      <c r="A26" s="214"/>
      <c r="B26" s="217"/>
      <c r="C26" s="217"/>
      <c r="D26" s="217"/>
      <c r="E26" s="220"/>
      <c r="F26" s="217"/>
      <c r="G26" s="223"/>
      <c r="H26" s="226"/>
      <c r="I26" s="229"/>
      <c r="J26" s="232"/>
      <c r="K26" s="229">
        <f t="shared" ref="K26:K30" si="18">IF(NOT(ISERROR(MATCH(J26,_xlfn.ANCHORARRAY(E37),0))),I39&amp;"Por favor no seleccionar los criterios de impacto",J26)</f>
        <v>0</v>
      </c>
      <c r="L26" s="226"/>
      <c r="M26" s="229"/>
      <c r="N26" s="235"/>
      <c r="O26" s="123">
        <v>2</v>
      </c>
      <c r="P26" s="124"/>
      <c r="Q26" s="125" t="str">
        <f>IF(OR(R26="Preventivo",R26="Detectivo"),"Probabilidad",IF(R26="Correctivo","Impacto",""))</f>
        <v/>
      </c>
      <c r="R26" s="126"/>
      <c r="S26" s="126"/>
      <c r="T26" s="127" t="str">
        <f t="shared" ref="T26:T30" si="19">IF(AND(R26="Preventivo",S26="Automático"),"50%",IF(AND(R26="Preventivo",S26="Manual"),"40%",IF(AND(R26="Detectivo",S26="Automático"),"40%",IF(AND(R26="Detectivo",S26="Manual"),"30%",IF(AND(R26="Correctivo",S26="Automático"),"35%",IF(AND(R26="Correctivo",S26="Manual"),"25%",""))))))</f>
        <v/>
      </c>
      <c r="U26" s="126"/>
      <c r="V26" s="126"/>
      <c r="W26" s="126"/>
      <c r="X26" s="128" t="str">
        <f>IFERROR(IF(AND(Q25="Probabilidad",Q26="Probabilidad"),(Z25-(+Z25*T26)),IF(Q26="Probabilidad",(I25-(+I25*T26)),IF(Q26="Impacto",Z25,""))),"")</f>
        <v/>
      </c>
      <c r="Y26" s="129" t="str">
        <f t="shared" si="2"/>
        <v/>
      </c>
      <c r="Z26" s="130" t="str">
        <f t="shared" ref="Z26:Z30" si="20">+X26</f>
        <v/>
      </c>
      <c r="AA26" s="129" t="str">
        <f t="shared" si="4"/>
        <v/>
      </c>
      <c r="AB26" s="130" t="str">
        <f>IFERROR(IF(AND(Q25="Impacto",Q26="Impacto"),(AB25-(+AB25*T26)),IF(Q26="Impacto",(M25-(+M25*T26)),IF(Q26="Probabilidad",AB25,""))),"")</f>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
      <c r="A27" s="214"/>
      <c r="B27" s="217"/>
      <c r="C27" s="217"/>
      <c r="D27" s="217"/>
      <c r="E27" s="220"/>
      <c r="F27" s="217"/>
      <c r="G27" s="223"/>
      <c r="H27" s="226"/>
      <c r="I27" s="229"/>
      <c r="J27" s="232"/>
      <c r="K27" s="229">
        <f t="shared" si="18"/>
        <v>0</v>
      </c>
      <c r="L27" s="226"/>
      <c r="M27" s="229"/>
      <c r="N27" s="235"/>
      <c r="O27" s="123">
        <v>3</v>
      </c>
      <c r="P27" s="136"/>
      <c r="Q27" s="125" t="str">
        <f>IF(OR(R27="Preventivo",R27="Detectivo"),"Probabilidad",IF(R27="Correctivo","Impacto",""))</f>
        <v/>
      </c>
      <c r="R27" s="126"/>
      <c r="S27" s="126"/>
      <c r="T27" s="127" t="str">
        <f t="shared" si="19"/>
        <v/>
      </c>
      <c r="U27" s="126"/>
      <c r="V27" s="126"/>
      <c r="W27" s="126"/>
      <c r="X27" s="128" t="str">
        <f>IFERROR(IF(AND(Q26="Probabilidad",Q27="Probabilidad"),(Z26-(+Z26*T27)),IF(AND(Q26="Impacto",Q27="Probabilidad"),(Z25-(+Z25*T27)),IF(Q27="Impacto",Z26,""))),"")</f>
        <v/>
      </c>
      <c r="Y27" s="129" t="str">
        <f t="shared" si="2"/>
        <v/>
      </c>
      <c r="Z27" s="130" t="str">
        <f t="shared" si="20"/>
        <v/>
      </c>
      <c r="AA27" s="129" t="str">
        <f t="shared" si="4"/>
        <v/>
      </c>
      <c r="AB27" s="130" t="str">
        <f>IFERROR(IF(AND(Q26="Impacto",Q27="Impacto"),(AB26-(+AB26*T27)),IF(AND(Q26="Probabilidad",Q27="Impacto"),(AB25-(+AB25*T27)),IF(Q27="Probabilidad",AB26,""))),"")</f>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
      <c r="A28" s="214"/>
      <c r="B28" s="217"/>
      <c r="C28" s="217"/>
      <c r="D28" s="217"/>
      <c r="E28" s="220"/>
      <c r="F28" s="217"/>
      <c r="G28" s="223"/>
      <c r="H28" s="226"/>
      <c r="I28" s="229"/>
      <c r="J28" s="232"/>
      <c r="K28" s="229">
        <f t="shared" si="18"/>
        <v>0</v>
      </c>
      <c r="L28" s="226"/>
      <c r="M28" s="229"/>
      <c r="N28" s="235"/>
      <c r="O28" s="123">
        <v>4</v>
      </c>
      <c r="P28" s="124"/>
      <c r="Q28" s="125" t="str">
        <f t="shared" ref="Q28:Q30" si="22">IF(OR(R28="Preventivo",R28="Detectivo"),"Probabilidad",IF(R28="Correctivo","Impacto",""))</f>
        <v/>
      </c>
      <c r="R28" s="126"/>
      <c r="S28" s="126"/>
      <c r="T28" s="127" t="str">
        <f t="shared" si="19"/>
        <v/>
      </c>
      <c r="U28" s="126"/>
      <c r="V28" s="126"/>
      <c r="W28" s="126"/>
      <c r="X28" s="128" t="str">
        <f t="shared" ref="X28:X30" si="23">IFERROR(IF(AND(Q27="Probabilidad",Q28="Probabilidad"),(Z27-(+Z27*T28)),IF(AND(Q27="Impacto",Q28="Probabilidad"),(Z26-(+Z26*T28)),IF(Q28="Impacto",Z27,""))),"")</f>
        <v/>
      </c>
      <c r="Y28" s="129" t="str">
        <f t="shared" si="2"/>
        <v/>
      </c>
      <c r="Z28" s="130" t="str">
        <f t="shared" si="20"/>
        <v/>
      </c>
      <c r="AA28" s="129" t="str">
        <f t="shared" si="4"/>
        <v/>
      </c>
      <c r="AB28" s="130" t="str">
        <f t="shared" ref="AB28:AB30" si="24">IFERROR(IF(AND(Q27="Impacto",Q28="Impacto"),(AB27-(+AB27*T28)),IF(AND(Q27="Probabilidad",Q28="Impacto"),(AB26-(+AB26*T28)),IF(Q28="Probabilidad",AB27,""))),"")</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
      <c r="A29" s="214"/>
      <c r="B29" s="217"/>
      <c r="C29" s="217"/>
      <c r="D29" s="217"/>
      <c r="E29" s="220"/>
      <c r="F29" s="217"/>
      <c r="G29" s="223"/>
      <c r="H29" s="226"/>
      <c r="I29" s="229"/>
      <c r="J29" s="232"/>
      <c r="K29" s="229">
        <f t="shared" si="18"/>
        <v>0</v>
      </c>
      <c r="L29" s="226"/>
      <c r="M29" s="229"/>
      <c r="N29" s="235"/>
      <c r="O29" s="123">
        <v>5</v>
      </c>
      <c r="P29" s="124"/>
      <c r="Q29" s="125" t="str">
        <f t="shared" si="22"/>
        <v/>
      </c>
      <c r="R29" s="126"/>
      <c r="S29" s="126"/>
      <c r="T29" s="127" t="str">
        <f t="shared" si="19"/>
        <v/>
      </c>
      <c r="U29" s="126"/>
      <c r="V29" s="126"/>
      <c r="W29" s="126"/>
      <c r="X29" s="128" t="str">
        <f t="shared" si="23"/>
        <v/>
      </c>
      <c r="Y29" s="129" t="str">
        <f t="shared" si="2"/>
        <v/>
      </c>
      <c r="Z29" s="130" t="str">
        <f t="shared" si="20"/>
        <v/>
      </c>
      <c r="AA29" s="129" t="str">
        <f t="shared" si="4"/>
        <v/>
      </c>
      <c r="AB29" s="130" t="str">
        <f t="shared" si="24"/>
        <v/>
      </c>
      <c r="AC29" s="131" t="str">
        <f t="shared" ref="AC29" si="25">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
      <c r="A30" s="215"/>
      <c r="B30" s="218"/>
      <c r="C30" s="218"/>
      <c r="D30" s="218"/>
      <c r="E30" s="221"/>
      <c r="F30" s="218"/>
      <c r="G30" s="224"/>
      <c r="H30" s="227"/>
      <c r="I30" s="230"/>
      <c r="J30" s="233"/>
      <c r="K30" s="230">
        <f t="shared" si="18"/>
        <v>0</v>
      </c>
      <c r="L30" s="227"/>
      <c r="M30" s="230"/>
      <c r="N30" s="236"/>
      <c r="O30" s="123">
        <v>6</v>
      </c>
      <c r="P30" s="124"/>
      <c r="Q30" s="125" t="str">
        <f t="shared" si="22"/>
        <v/>
      </c>
      <c r="R30" s="126"/>
      <c r="S30" s="126"/>
      <c r="T30" s="127" t="str">
        <f t="shared" si="19"/>
        <v/>
      </c>
      <c r="U30" s="126"/>
      <c r="V30" s="126"/>
      <c r="W30" s="126"/>
      <c r="X30" s="128" t="str">
        <f t="shared" si="23"/>
        <v/>
      </c>
      <c r="Y30" s="129" t="str">
        <f t="shared" si="2"/>
        <v/>
      </c>
      <c r="Z30" s="130" t="str">
        <f t="shared" si="20"/>
        <v/>
      </c>
      <c r="AA30" s="129" t="str">
        <f>IFERROR(IF(AB30="","",IF(AB30&lt;=0.2,"Leve",IF(AB30&lt;=0.4,"Menor",IF(AB30&lt;=0.6,"Moderado",IF(AB30&lt;=0.8,"Mayor","Catastrófico"))))),"")</f>
        <v/>
      </c>
      <c r="AB30" s="130" t="str">
        <f t="shared" si="24"/>
        <v/>
      </c>
      <c r="AC30" s="131"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35.25" customHeight="1" x14ac:dyDescent="0.3">
      <c r="A31" s="213">
        <v>7</v>
      </c>
      <c r="B31" s="216"/>
      <c r="C31" s="216"/>
      <c r="D31" s="216"/>
      <c r="E31" s="219"/>
      <c r="F31" s="216"/>
      <c r="G31" s="222"/>
      <c r="H31" s="225" t="str">
        <f>IF(G31&lt;=0,"",IF(G31&lt;=2,"Muy Baja",IF(G31&lt;=24,"Baja",IF(G31&lt;=500,"Media",IF(G31&lt;=5000,"Alta","Muy Alta")))))</f>
        <v/>
      </c>
      <c r="I31" s="228" t="str">
        <f>IF(H31="","",IF(H31="Muy Baja",0.2,IF(H31="Baja",0.4,IF(H31="Media",0.6,IF(H31="Alta",0.8,IF(H31="Muy Alta",1,))))))</f>
        <v/>
      </c>
      <c r="J31" s="231"/>
      <c r="K31" s="228">
        <f>IF(NOT(ISERROR(MATCH(J31,'Tabla Impacto'!$B$221:$B$223,0))),'Tabla Impacto'!$F$223&amp;"Por favor no seleccionar los criterios de impacto(Afectación Económica o presupuestal y Pérdida Reputacional)",J31)</f>
        <v>0</v>
      </c>
      <c r="L31" s="225" t="str">
        <f>IF(OR(K31='Tabla Impacto'!$C$11,K31='Tabla Impacto'!$D$11),"Leve",IF(OR(K31='Tabla Impacto'!$C$12,K31='Tabla Impacto'!$D$12),"Menor",IF(OR(K31='Tabla Impacto'!$C$13,K31='Tabla Impacto'!$D$13),"Moderado",IF(OR(K31='Tabla Impacto'!$C$14,K31='Tabla Impacto'!$D$14),"Mayor",IF(OR(K31='Tabla Impacto'!$C$15,K31='Tabla Impacto'!$D$15),"Catastrófico","")))))</f>
        <v/>
      </c>
      <c r="M31" s="228" t="str">
        <f>IF(L31="","",IF(L31="Leve",0.2,IF(L31="Menor",0.4,IF(L31="Moderado",0.6,IF(L31="Mayor",0.8,IF(L31="Catastrófico",1,))))))</f>
        <v/>
      </c>
      <c r="N31" s="234"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
      </c>
      <c r="O31" s="123">
        <v>1</v>
      </c>
      <c r="P31" s="124"/>
      <c r="Q31" s="125" t="str">
        <f>IF(OR(R31="Preventivo",R31="Detectivo"),"Probabilidad",IF(R31="Correctivo","Impacto",""))</f>
        <v/>
      </c>
      <c r="R31" s="126"/>
      <c r="S31" s="126"/>
      <c r="T31" s="127" t="str">
        <f>IF(AND(R31="Preventivo",S31="Automático"),"50%",IF(AND(R31="Preventivo",S31="Manual"),"40%",IF(AND(R31="Detectivo",S31="Automático"),"40%",IF(AND(R31="Detectivo",S31="Manual"),"30%",IF(AND(R31="Correctivo",S31="Automático"),"35%",IF(AND(R31="Correctivo",S31="Manual"),"25%",""))))))</f>
        <v/>
      </c>
      <c r="U31" s="126"/>
      <c r="V31" s="126"/>
      <c r="W31" s="126"/>
      <c r="X31" s="128" t="str">
        <f>IFERROR(IF(Q31="Probabilidad",(I31-(+I31*T31)),IF(Q31="Impacto",I31,"")),"")</f>
        <v/>
      </c>
      <c r="Y31" s="129" t="str">
        <f>IFERROR(IF(X31="","",IF(X31&lt;=0.2,"Muy Baja",IF(X31&lt;=0.4,"Baja",IF(X31&lt;=0.6,"Media",IF(X31&lt;=0.8,"Alta","Muy Alta"))))),"")</f>
        <v/>
      </c>
      <c r="Z31" s="130" t="str">
        <f>+X31</f>
        <v/>
      </c>
      <c r="AA31" s="129" t="str">
        <f>IFERROR(IF(AB31="","",IF(AB31&lt;=0.2,"Leve",IF(AB31&lt;=0.4,"Menor",IF(AB31&lt;=0.6,"Moderado",IF(AB31&lt;=0.8,"Mayor","Catastrófico"))))),"")</f>
        <v/>
      </c>
      <c r="AB31" s="130" t="str">
        <f>IFERROR(IF(Q31="Impacto",(M31-(+M31*T31)),IF(Q31="Probabilidad",M31,"")),"")</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35.25" customHeight="1" x14ac:dyDescent="0.3">
      <c r="A32" s="214"/>
      <c r="B32" s="217"/>
      <c r="C32" s="217"/>
      <c r="D32" s="217"/>
      <c r="E32" s="220"/>
      <c r="F32" s="217"/>
      <c r="G32" s="223"/>
      <c r="H32" s="226"/>
      <c r="I32" s="229"/>
      <c r="J32" s="232"/>
      <c r="K32" s="229">
        <f t="shared" ref="K32:K36" si="26">IF(NOT(ISERROR(MATCH(J32,_xlfn.ANCHORARRAY(E43),0))),I45&amp;"Por favor no seleccionar los criterios de impacto",J32)</f>
        <v>0</v>
      </c>
      <c r="L32" s="226"/>
      <c r="M32" s="229"/>
      <c r="N32" s="235"/>
      <c r="O32" s="123">
        <v>2</v>
      </c>
      <c r="P32" s="124"/>
      <c r="Q32" s="125" t="str">
        <f>IF(OR(R32="Preventivo",R32="Detectivo"),"Probabilidad",IF(R32="Correctivo","Impacto",""))</f>
        <v/>
      </c>
      <c r="R32" s="126"/>
      <c r="S32" s="126"/>
      <c r="T32" s="127" t="str">
        <f t="shared" ref="T32:T36" si="27">IF(AND(R32="Preventivo",S32="Automático"),"50%",IF(AND(R32="Preventivo",S32="Manual"),"40%",IF(AND(R32="Detectivo",S32="Automático"),"40%",IF(AND(R32="Detectivo",S32="Manual"),"30%",IF(AND(R32="Correctivo",S32="Automático"),"35%",IF(AND(R32="Correctivo",S32="Manual"),"25%",""))))))</f>
        <v/>
      </c>
      <c r="U32" s="126"/>
      <c r="V32" s="126"/>
      <c r="W32" s="126"/>
      <c r="X32" s="128" t="str">
        <f>IFERROR(IF(AND(Q31="Probabilidad",Q32="Probabilidad"),(Z31-(+Z31*T32)),IF(Q32="Probabilidad",(I31-(+I31*T32)),IF(Q32="Impacto",Z31,""))),"")</f>
        <v/>
      </c>
      <c r="Y32" s="129" t="str">
        <f t="shared" si="2"/>
        <v/>
      </c>
      <c r="Z32" s="130" t="str">
        <f t="shared" ref="Z32:Z36" si="28">+X32</f>
        <v/>
      </c>
      <c r="AA32" s="129" t="str">
        <f t="shared" si="4"/>
        <v/>
      </c>
      <c r="AB32" s="130" t="str">
        <f>IFERROR(IF(AND(Q31="Impacto",Q32="Impacto"),(AB31-(+AB31*T32)),IF(Q32="Impacto",(M31-(+M31*T32)),IF(Q32="Probabilidad",AB31,""))),"")</f>
        <v/>
      </c>
      <c r="AC32" s="131" t="str">
        <f t="shared" ref="AC32:AC33" si="29">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35.25" customHeight="1" x14ac:dyDescent="0.3">
      <c r="A33" s="214"/>
      <c r="B33" s="217"/>
      <c r="C33" s="217"/>
      <c r="D33" s="217"/>
      <c r="E33" s="220"/>
      <c r="F33" s="217"/>
      <c r="G33" s="223"/>
      <c r="H33" s="226"/>
      <c r="I33" s="229"/>
      <c r="J33" s="232"/>
      <c r="K33" s="229">
        <f t="shared" si="26"/>
        <v>0</v>
      </c>
      <c r="L33" s="226"/>
      <c r="M33" s="229"/>
      <c r="N33" s="235"/>
      <c r="O33" s="123">
        <v>3</v>
      </c>
      <c r="P33" s="136"/>
      <c r="Q33" s="125" t="str">
        <f>IF(OR(R33="Preventivo",R33="Detectivo"),"Probabilidad",IF(R33="Correctivo","Impacto",""))</f>
        <v/>
      </c>
      <c r="R33" s="126"/>
      <c r="S33" s="126"/>
      <c r="T33" s="127" t="str">
        <f t="shared" si="27"/>
        <v/>
      </c>
      <c r="U33" s="126"/>
      <c r="V33" s="126"/>
      <c r="W33" s="126"/>
      <c r="X33" s="128" t="str">
        <f>IFERROR(IF(AND(Q32="Probabilidad",Q33="Probabilidad"),(Z32-(+Z32*T33)),IF(AND(Q32="Impacto",Q33="Probabilidad"),(Z31-(+Z31*T33)),IF(Q33="Impacto",Z32,""))),"")</f>
        <v/>
      </c>
      <c r="Y33" s="129" t="str">
        <f t="shared" si="2"/>
        <v/>
      </c>
      <c r="Z33" s="130" t="str">
        <f t="shared" si="28"/>
        <v/>
      </c>
      <c r="AA33" s="129" t="str">
        <f t="shared" si="4"/>
        <v/>
      </c>
      <c r="AB33" s="130" t="str">
        <f>IFERROR(IF(AND(Q32="Impacto",Q33="Impacto"),(AB32-(+AB32*T33)),IF(AND(Q32="Probabilidad",Q33="Impacto"),(AB31-(+AB31*T33)),IF(Q33="Probabilidad",AB32,""))),"")</f>
        <v/>
      </c>
      <c r="AC33" s="131" t="str">
        <f t="shared" si="29"/>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35.25" customHeight="1" x14ac:dyDescent="0.3">
      <c r="A34" s="214"/>
      <c r="B34" s="217"/>
      <c r="C34" s="217"/>
      <c r="D34" s="217"/>
      <c r="E34" s="220"/>
      <c r="F34" s="217"/>
      <c r="G34" s="223"/>
      <c r="H34" s="226"/>
      <c r="I34" s="229"/>
      <c r="J34" s="232"/>
      <c r="K34" s="229">
        <f t="shared" si="26"/>
        <v>0</v>
      </c>
      <c r="L34" s="226"/>
      <c r="M34" s="229"/>
      <c r="N34" s="235"/>
      <c r="O34" s="123">
        <v>4</v>
      </c>
      <c r="P34" s="124"/>
      <c r="Q34" s="125" t="str">
        <f t="shared" ref="Q34:Q36" si="30">IF(OR(R34="Preventivo",R34="Detectivo"),"Probabilidad",IF(R34="Correctivo","Impacto",""))</f>
        <v/>
      </c>
      <c r="R34" s="126"/>
      <c r="S34" s="126"/>
      <c r="T34" s="127" t="str">
        <f t="shared" si="27"/>
        <v/>
      </c>
      <c r="U34" s="126"/>
      <c r="V34" s="126"/>
      <c r="W34" s="126"/>
      <c r="X34" s="128" t="str">
        <f t="shared" ref="X34:X36" si="31">IFERROR(IF(AND(Q33="Probabilidad",Q34="Probabilidad"),(Z33-(+Z33*T34)),IF(AND(Q33="Impacto",Q34="Probabilidad"),(Z32-(+Z32*T34)),IF(Q34="Impacto",Z33,""))),"")</f>
        <v/>
      </c>
      <c r="Y34" s="129" t="str">
        <f t="shared" si="2"/>
        <v/>
      </c>
      <c r="Z34" s="130" t="str">
        <f t="shared" si="28"/>
        <v/>
      </c>
      <c r="AA34" s="129" t="str">
        <f t="shared" si="4"/>
        <v/>
      </c>
      <c r="AB34" s="130" t="str">
        <f t="shared" ref="AB34:AB36" si="32">IFERROR(IF(AND(Q33="Impacto",Q34="Impacto"),(AB33-(+AB33*T34)),IF(AND(Q33="Probabilidad",Q34="Impacto"),(AB32-(+AB32*T34)),IF(Q34="Probabilidad",AB33,""))),"")</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35.25" customHeight="1" x14ac:dyDescent="0.3">
      <c r="A35" s="214"/>
      <c r="B35" s="217"/>
      <c r="C35" s="217"/>
      <c r="D35" s="217"/>
      <c r="E35" s="220"/>
      <c r="F35" s="217"/>
      <c r="G35" s="223"/>
      <c r="H35" s="226"/>
      <c r="I35" s="229"/>
      <c r="J35" s="232"/>
      <c r="K35" s="229">
        <f t="shared" si="26"/>
        <v>0</v>
      </c>
      <c r="L35" s="226"/>
      <c r="M35" s="229"/>
      <c r="N35" s="235"/>
      <c r="O35" s="123">
        <v>5</v>
      </c>
      <c r="P35" s="124"/>
      <c r="Q35" s="125" t="str">
        <f t="shared" si="30"/>
        <v/>
      </c>
      <c r="R35" s="126"/>
      <c r="S35" s="126"/>
      <c r="T35" s="127" t="str">
        <f t="shared" si="27"/>
        <v/>
      </c>
      <c r="U35" s="126"/>
      <c r="V35" s="126"/>
      <c r="W35" s="126"/>
      <c r="X35" s="128" t="str">
        <f t="shared" si="31"/>
        <v/>
      </c>
      <c r="Y35" s="129" t="str">
        <f t="shared" si="2"/>
        <v/>
      </c>
      <c r="Z35" s="130" t="str">
        <f t="shared" si="28"/>
        <v/>
      </c>
      <c r="AA35" s="129" t="str">
        <f t="shared" si="4"/>
        <v/>
      </c>
      <c r="AB35" s="130" t="str">
        <f t="shared" si="32"/>
        <v/>
      </c>
      <c r="AC35" s="131" t="str">
        <f t="shared" ref="AC35:AC36" si="33">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35.25" customHeight="1" x14ac:dyDescent="0.3">
      <c r="A36" s="215"/>
      <c r="B36" s="218"/>
      <c r="C36" s="218"/>
      <c r="D36" s="218"/>
      <c r="E36" s="221"/>
      <c r="F36" s="218"/>
      <c r="G36" s="224"/>
      <c r="H36" s="227"/>
      <c r="I36" s="230"/>
      <c r="J36" s="233"/>
      <c r="K36" s="230">
        <f t="shared" si="26"/>
        <v>0</v>
      </c>
      <c r="L36" s="227"/>
      <c r="M36" s="230"/>
      <c r="N36" s="236"/>
      <c r="O36" s="123">
        <v>6</v>
      </c>
      <c r="P36" s="124"/>
      <c r="Q36" s="125" t="str">
        <f t="shared" si="30"/>
        <v/>
      </c>
      <c r="R36" s="126"/>
      <c r="S36" s="126"/>
      <c r="T36" s="127" t="str">
        <f t="shared" si="27"/>
        <v/>
      </c>
      <c r="U36" s="126"/>
      <c r="V36" s="126"/>
      <c r="W36" s="126"/>
      <c r="X36" s="128" t="str">
        <f t="shared" si="31"/>
        <v/>
      </c>
      <c r="Y36" s="129" t="str">
        <f t="shared" si="2"/>
        <v/>
      </c>
      <c r="Z36" s="130" t="str">
        <f t="shared" si="28"/>
        <v/>
      </c>
      <c r="AA36" s="129" t="str">
        <f t="shared" si="4"/>
        <v/>
      </c>
      <c r="AB36" s="130" t="str">
        <f t="shared" si="32"/>
        <v/>
      </c>
      <c r="AC36" s="131" t="str">
        <f t="shared" si="33"/>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35.25" customHeight="1" x14ac:dyDescent="0.3">
      <c r="A37" s="213">
        <v>8</v>
      </c>
      <c r="B37" s="216"/>
      <c r="C37" s="216"/>
      <c r="D37" s="216"/>
      <c r="E37" s="219"/>
      <c r="F37" s="216"/>
      <c r="G37" s="222"/>
      <c r="H37" s="225" t="str">
        <f>IF(G37&lt;=0,"",IF(G37&lt;=2,"Muy Baja",IF(G37&lt;=24,"Baja",IF(G37&lt;=500,"Media",IF(G37&lt;=5000,"Alta","Muy Alta")))))</f>
        <v/>
      </c>
      <c r="I37" s="228" t="str">
        <f>IF(H37="","",IF(H37="Muy Baja",0.2,IF(H37="Baja",0.4,IF(H37="Media",0.6,IF(H37="Alta",0.8,IF(H37="Muy Alta",1,))))))</f>
        <v/>
      </c>
      <c r="J37" s="231"/>
      <c r="K37" s="228">
        <f>IF(NOT(ISERROR(MATCH(J37,'Tabla Impacto'!$B$221:$B$223,0))),'Tabla Impacto'!$F$223&amp;"Por favor no seleccionar los criterios de impacto(Afectación Económica o presupuestal y Pérdida Reputacional)",J37)</f>
        <v>0</v>
      </c>
      <c r="L37" s="225" t="str">
        <f>IF(OR(K37='Tabla Impacto'!$C$11,K37='Tabla Impacto'!$D$11),"Leve",IF(OR(K37='Tabla Impacto'!$C$12,K37='Tabla Impacto'!$D$12),"Menor",IF(OR(K37='Tabla Impacto'!$C$13,K37='Tabla Impacto'!$D$13),"Moderado",IF(OR(K37='Tabla Impacto'!$C$14,K37='Tabla Impacto'!$D$14),"Mayor",IF(OR(K37='Tabla Impacto'!$C$15,K37='Tabla Impacto'!$D$15),"Catastrófico","")))))</f>
        <v/>
      </c>
      <c r="M37" s="228" t="str">
        <f>IF(L37="","",IF(L37="Leve",0.2,IF(L37="Menor",0.4,IF(L37="Moderado",0.6,IF(L37="Mayor",0.8,IF(L37="Catastrófico",1,))))))</f>
        <v/>
      </c>
      <c r="N37" s="234" t="str">
        <f>IF(OR(AND(H37="Muy Baja",L37="Leve"),AND(H37="Muy Baja",L37="Menor"),AND(H37="Baja",L37="Leve")),"Bajo",IF(OR(AND(H37="Muy baja",L37="Moderado"),AND(H37="Baja",L37="Menor"),AND(H37="Baja",L37="Moderado"),AND(H37="Media",L37="Leve"),AND(H37="Media",L37="Menor"),AND(H37="Media",L37="Moderado"),AND(H37="Alta",L37="Leve"),AND(H37="Alta",L37="Menor")),"Moderado",IF(OR(AND(H37="Muy Baja",L37="Mayor"),AND(H37="Baja",L37="Mayor"),AND(H37="Media",L37="Mayor"),AND(H37="Alta",L37="Moderado"),AND(H37="Alta",L37="Mayor"),AND(H37="Muy Alta",L37="Leve"),AND(H37="Muy Alta",L37="Menor"),AND(H37="Muy Alta",L37="Moderado"),AND(H37="Muy Alta",L37="Mayor")),"Alto",IF(OR(AND(H37="Muy Baja",L37="Catastrófico"),AND(H37="Baja",L37="Catastrófico"),AND(H37="Media",L37="Catastrófico"),AND(H37="Alta",L37="Catastrófico"),AND(H37="Muy Alta",L37="Catastrófico")),"Extremo",""))))</f>
        <v/>
      </c>
      <c r="O37" s="123">
        <v>1</v>
      </c>
      <c r="P37" s="124"/>
      <c r="Q37" s="125" t="str">
        <f>IF(OR(R37="Preventivo",R37="Detectivo"),"Probabilidad",IF(R37="Correctivo","Impacto",""))</f>
        <v/>
      </c>
      <c r="R37" s="126"/>
      <c r="S37" s="126"/>
      <c r="T37" s="127" t="str">
        <f>IF(AND(R37="Preventivo",S37="Automático"),"50%",IF(AND(R37="Preventivo",S37="Manual"),"40%",IF(AND(R37="Detectivo",S37="Automático"),"40%",IF(AND(R37="Detectivo",S37="Manual"),"30%",IF(AND(R37="Correctivo",S37="Automático"),"35%",IF(AND(R37="Correctivo",S37="Manual"),"25%",""))))))</f>
        <v/>
      </c>
      <c r="U37" s="126"/>
      <c r="V37" s="126"/>
      <c r="W37" s="126"/>
      <c r="X37" s="128" t="str">
        <f>IFERROR(IF(Q37="Probabilidad",(I37-(+I37*T37)),IF(Q37="Impacto",I37,"")),"")</f>
        <v/>
      </c>
      <c r="Y37" s="129" t="str">
        <f>IFERROR(IF(X37="","",IF(X37&lt;=0.2,"Muy Baja",IF(X37&lt;=0.4,"Baja",IF(X37&lt;=0.6,"Media",IF(X37&lt;=0.8,"Alta","Muy Alta"))))),"")</f>
        <v/>
      </c>
      <c r="Z37" s="130" t="str">
        <f>+X37</f>
        <v/>
      </c>
      <c r="AA37" s="129" t="str">
        <f>IFERROR(IF(AB37="","",IF(AB37&lt;=0.2,"Leve",IF(AB37&lt;=0.4,"Menor",IF(AB37&lt;=0.6,"Moderado",IF(AB37&lt;=0.8,"Mayor","Catastrófico"))))),"")</f>
        <v/>
      </c>
      <c r="AB37" s="130" t="str">
        <f>IFERROR(IF(Q37="Impacto",(M37-(+M37*T37)),IF(Q37="Probabilidad",M37,"")),"")</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35.25" customHeight="1" x14ac:dyDescent="0.3">
      <c r="A38" s="214"/>
      <c r="B38" s="217"/>
      <c r="C38" s="217"/>
      <c r="D38" s="217"/>
      <c r="E38" s="220"/>
      <c r="F38" s="217"/>
      <c r="G38" s="223"/>
      <c r="H38" s="226"/>
      <c r="I38" s="229"/>
      <c r="J38" s="232"/>
      <c r="K38" s="229">
        <f>IF(NOT(ISERROR(MATCH(J38,_xlfn.ANCHORARRAY(E49),0))),I51&amp;"Por favor no seleccionar los criterios de impacto",J38)</f>
        <v>0</v>
      </c>
      <c r="L38" s="226"/>
      <c r="M38" s="229"/>
      <c r="N38" s="235"/>
      <c r="O38" s="123">
        <v>2</v>
      </c>
      <c r="P38" s="124"/>
      <c r="Q38" s="125" t="str">
        <f>IF(OR(R38="Preventivo",R38="Detectivo"),"Probabilidad",IF(R38="Correctivo","Impacto",""))</f>
        <v/>
      </c>
      <c r="R38" s="126"/>
      <c r="S38" s="126"/>
      <c r="T38" s="127" t="str">
        <f t="shared" ref="T38:T42" si="34">IF(AND(R38="Preventivo",S38="Automático"),"50%",IF(AND(R38="Preventivo",S38="Manual"),"40%",IF(AND(R38="Detectivo",S38="Automático"),"40%",IF(AND(R38="Detectivo",S38="Manual"),"30%",IF(AND(R38="Correctivo",S38="Automático"),"35%",IF(AND(R38="Correctivo",S38="Manual"),"25%",""))))))</f>
        <v/>
      </c>
      <c r="U38" s="126"/>
      <c r="V38" s="126"/>
      <c r="W38" s="126"/>
      <c r="X38" s="128" t="str">
        <f>IFERROR(IF(AND(Q37="Probabilidad",Q38="Probabilidad"),(Z37-(+Z37*T38)),IF(Q38="Probabilidad",(I37-(+I37*T38)),IF(Q38="Impacto",Z37,""))),"")</f>
        <v/>
      </c>
      <c r="Y38" s="129" t="str">
        <f t="shared" si="2"/>
        <v/>
      </c>
      <c r="Z38" s="130" t="str">
        <f t="shared" ref="Z38:Z42" si="35">+X38</f>
        <v/>
      </c>
      <c r="AA38" s="129" t="str">
        <f t="shared" si="4"/>
        <v/>
      </c>
      <c r="AB38" s="130" t="str">
        <f>IFERROR(IF(AND(Q37="Impacto",Q38="Impacto"),(AB37-(+AB37*T38)),IF(Q38="Impacto",(M37-(+M37*T38)),IF(Q38="Probabilidad",AB37,""))),"")</f>
        <v/>
      </c>
      <c r="AC38" s="131" t="str">
        <f t="shared" ref="AC38:AC39" si="36">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35.25" customHeight="1" x14ac:dyDescent="0.3">
      <c r="A39" s="214"/>
      <c r="B39" s="217"/>
      <c r="C39" s="217"/>
      <c r="D39" s="217"/>
      <c r="E39" s="220"/>
      <c r="F39" s="217"/>
      <c r="G39" s="223"/>
      <c r="H39" s="226"/>
      <c r="I39" s="229"/>
      <c r="J39" s="232"/>
      <c r="K39" s="229">
        <f>IF(NOT(ISERROR(MATCH(J39,_xlfn.ANCHORARRAY(E50),0))),I52&amp;"Por favor no seleccionar los criterios de impacto",J39)</f>
        <v>0</v>
      </c>
      <c r="L39" s="226"/>
      <c r="M39" s="229"/>
      <c r="N39" s="235"/>
      <c r="O39" s="123">
        <v>3</v>
      </c>
      <c r="P39" s="136"/>
      <c r="Q39" s="125" t="str">
        <f>IF(OR(R39="Preventivo",R39="Detectivo"),"Probabilidad",IF(R39="Correctivo","Impacto",""))</f>
        <v/>
      </c>
      <c r="R39" s="126"/>
      <c r="S39" s="126"/>
      <c r="T39" s="127" t="str">
        <f t="shared" si="34"/>
        <v/>
      </c>
      <c r="U39" s="126"/>
      <c r="V39" s="126"/>
      <c r="W39" s="126"/>
      <c r="X39" s="128" t="str">
        <f>IFERROR(IF(AND(Q38="Probabilidad",Q39="Probabilidad"),(Z38-(+Z38*T39)),IF(AND(Q38="Impacto",Q39="Probabilidad"),(Z37-(+Z37*T39)),IF(Q39="Impacto",Z38,""))),"")</f>
        <v/>
      </c>
      <c r="Y39" s="129" t="str">
        <f t="shared" si="2"/>
        <v/>
      </c>
      <c r="Z39" s="130" t="str">
        <f t="shared" si="35"/>
        <v/>
      </c>
      <c r="AA39" s="129" t="str">
        <f t="shared" si="4"/>
        <v/>
      </c>
      <c r="AB39" s="130" t="str">
        <f>IFERROR(IF(AND(Q38="Impacto",Q39="Impacto"),(AB38-(+AB38*T39)),IF(AND(Q38="Probabilidad",Q39="Impacto"),(AB37-(+AB37*T39)),IF(Q39="Probabilidad",AB38,""))),"")</f>
        <v/>
      </c>
      <c r="AC39" s="131" t="str">
        <f t="shared" si="36"/>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35.25" customHeight="1" x14ac:dyDescent="0.3">
      <c r="A40" s="214"/>
      <c r="B40" s="217"/>
      <c r="C40" s="217"/>
      <c r="D40" s="217"/>
      <c r="E40" s="220"/>
      <c r="F40" s="217"/>
      <c r="G40" s="223"/>
      <c r="H40" s="226"/>
      <c r="I40" s="229"/>
      <c r="J40" s="232"/>
      <c r="K40" s="229">
        <f>IF(NOT(ISERROR(MATCH(J40,_xlfn.ANCHORARRAY(E51),0))),I53&amp;"Por favor no seleccionar los criterios de impacto",J40)</f>
        <v>0</v>
      </c>
      <c r="L40" s="226"/>
      <c r="M40" s="229"/>
      <c r="N40" s="235"/>
      <c r="O40" s="123">
        <v>4</v>
      </c>
      <c r="P40" s="124"/>
      <c r="Q40" s="125" t="str">
        <f t="shared" ref="Q40:Q42" si="37">IF(OR(R40="Preventivo",R40="Detectivo"),"Probabilidad",IF(R40="Correctivo","Impacto",""))</f>
        <v/>
      </c>
      <c r="R40" s="126"/>
      <c r="S40" s="126"/>
      <c r="T40" s="127" t="str">
        <f t="shared" si="34"/>
        <v/>
      </c>
      <c r="U40" s="126"/>
      <c r="V40" s="126"/>
      <c r="W40" s="126"/>
      <c r="X40" s="128" t="str">
        <f t="shared" ref="X40:X42" si="38">IFERROR(IF(AND(Q39="Probabilidad",Q40="Probabilidad"),(Z39-(+Z39*T40)),IF(AND(Q39="Impacto",Q40="Probabilidad"),(Z38-(+Z38*T40)),IF(Q40="Impacto",Z39,""))),"")</f>
        <v/>
      </c>
      <c r="Y40" s="129" t="str">
        <f t="shared" si="2"/>
        <v/>
      </c>
      <c r="Z40" s="130" t="str">
        <f t="shared" si="35"/>
        <v/>
      </c>
      <c r="AA40" s="129" t="str">
        <f t="shared" si="4"/>
        <v/>
      </c>
      <c r="AB40" s="130" t="str">
        <f t="shared" ref="AB40:AB42" si="39">IFERROR(IF(AND(Q39="Impacto",Q40="Impacto"),(AB39-(+AB39*T40)),IF(AND(Q39="Probabilidad",Q40="Impacto"),(AB38-(+AB38*T40)),IF(Q40="Probabilidad",AB39,""))),"")</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35.25" customHeight="1" x14ac:dyDescent="0.3">
      <c r="A41" s="214"/>
      <c r="B41" s="217"/>
      <c r="C41" s="217"/>
      <c r="D41" s="217"/>
      <c r="E41" s="220"/>
      <c r="F41" s="217"/>
      <c r="G41" s="223"/>
      <c r="H41" s="226"/>
      <c r="I41" s="229"/>
      <c r="J41" s="232"/>
      <c r="K41" s="229">
        <f>IF(NOT(ISERROR(MATCH(J41,_xlfn.ANCHORARRAY(E52),0))),I54&amp;"Por favor no seleccionar los criterios de impacto",J41)</f>
        <v>0</v>
      </c>
      <c r="L41" s="226"/>
      <c r="M41" s="229"/>
      <c r="N41" s="235"/>
      <c r="O41" s="123">
        <v>5</v>
      </c>
      <c r="P41" s="124"/>
      <c r="Q41" s="125" t="str">
        <f t="shared" si="37"/>
        <v/>
      </c>
      <c r="R41" s="126"/>
      <c r="S41" s="126"/>
      <c r="T41" s="127" t="str">
        <f t="shared" si="34"/>
        <v/>
      </c>
      <c r="U41" s="126"/>
      <c r="V41" s="126"/>
      <c r="W41" s="126"/>
      <c r="X41" s="128" t="str">
        <f t="shared" si="38"/>
        <v/>
      </c>
      <c r="Y41" s="129" t="str">
        <f t="shared" si="2"/>
        <v/>
      </c>
      <c r="Z41" s="130" t="str">
        <f t="shared" si="35"/>
        <v/>
      </c>
      <c r="AA41" s="129" t="str">
        <f t="shared" si="4"/>
        <v/>
      </c>
      <c r="AB41" s="130" t="str">
        <f t="shared" si="39"/>
        <v/>
      </c>
      <c r="AC41" s="131" t="str">
        <f t="shared" ref="AC41:AC42" si="40">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35.25" customHeight="1" x14ac:dyDescent="0.3">
      <c r="A42" s="215"/>
      <c r="B42" s="218"/>
      <c r="C42" s="218"/>
      <c r="D42" s="218"/>
      <c r="E42" s="221"/>
      <c r="F42" s="218"/>
      <c r="G42" s="224"/>
      <c r="H42" s="227"/>
      <c r="I42" s="230"/>
      <c r="J42" s="233"/>
      <c r="K42" s="230">
        <f>IF(NOT(ISERROR(MATCH(J42,_xlfn.ANCHORARRAY(E53),0))),I55&amp;"Por favor no seleccionar los criterios de impacto",J42)</f>
        <v>0</v>
      </c>
      <c r="L42" s="227"/>
      <c r="M42" s="230"/>
      <c r="N42" s="236"/>
      <c r="O42" s="123">
        <v>6</v>
      </c>
      <c r="P42" s="124"/>
      <c r="Q42" s="125" t="str">
        <f t="shared" si="37"/>
        <v/>
      </c>
      <c r="R42" s="126"/>
      <c r="S42" s="126"/>
      <c r="T42" s="127" t="str">
        <f t="shared" si="34"/>
        <v/>
      </c>
      <c r="U42" s="126"/>
      <c r="V42" s="126"/>
      <c r="W42" s="126"/>
      <c r="X42" s="128" t="str">
        <f t="shared" si="38"/>
        <v/>
      </c>
      <c r="Y42" s="129" t="str">
        <f t="shared" si="2"/>
        <v/>
      </c>
      <c r="Z42" s="130" t="str">
        <f t="shared" si="35"/>
        <v/>
      </c>
      <c r="AA42" s="129" t="str">
        <f t="shared" si="4"/>
        <v/>
      </c>
      <c r="AB42" s="130" t="str">
        <f t="shared" si="39"/>
        <v/>
      </c>
      <c r="AC42" s="131" t="str">
        <f t="shared" si="40"/>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35.25" customHeight="1" x14ac:dyDescent="0.3">
      <c r="A43" s="213">
        <v>9</v>
      </c>
      <c r="B43" s="216"/>
      <c r="C43" s="216"/>
      <c r="D43" s="216"/>
      <c r="E43" s="219"/>
      <c r="F43" s="216"/>
      <c r="G43" s="222"/>
      <c r="H43" s="225" t="str">
        <f>IF(G43&lt;=0,"",IF(G43&lt;=2,"Muy Baja",IF(G43&lt;=24,"Baja",IF(G43&lt;=500,"Media",IF(G43&lt;=5000,"Alta","Muy Alta")))))</f>
        <v/>
      </c>
      <c r="I43" s="228" t="str">
        <f>IF(H43="","",IF(H43="Muy Baja",0.2,IF(H43="Baja",0.4,IF(H43="Media",0.6,IF(H43="Alta",0.8,IF(H43="Muy Alta",1,))))))</f>
        <v/>
      </c>
      <c r="J43" s="231"/>
      <c r="K43" s="228">
        <f>IF(NOT(ISERROR(MATCH(J43,'Tabla Impacto'!$B$221:$B$223,0))),'Tabla Impacto'!$F$223&amp;"Por favor no seleccionar los criterios de impacto(Afectación Económica o presupuestal y Pérdida Reputacional)",J43)</f>
        <v>0</v>
      </c>
      <c r="L43" s="225" t="str">
        <f>IF(OR(K43='Tabla Impacto'!$C$11,K43='Tabla Impacto'!$D$11),"Leve",IF(OR(K43='Tabla Impacto'!$C$12,K43='Tabla Impacto'!$D$12),"Menor",IF(OR(K43='Tabla Impacto'!$C$13,K43='Tabla Impacto'!$D$13),"Moderado",IF(OR(K43='Tabla Impacto'!$C$14,K43='Tabla Impacto'!$D$14),"Mayor",IF(OR(K43='Tabla Impacto'!$C$15,K43='Tabla Impacto'!$D$15),"Catastrófico","")))))</f>
        <v/>
      </c>
      <c r="M43" s="228" t="str">
        <f>IF(L43="","",IF(L43="Leve",0.2,IF(L43="Menor",0.4,IF(L43="Moderado",0.6,IF(L43="Mayor",0.8,IF(L43="Catastrófico",1,))))))</f>
        <v/>
      </c>
      <c r="N43" s="234" t="str">
        <f>IF(OR(AND(H43="Muy Baja",L43="Leve"),AND(H43="Muy Baja",L43="Menor"),AND(H43="Baja",L43="Leve")),"Bajo",IF(OR(AND(H43="Muy baja",L43="Moderado"),AND(H43="Baja",L43="Menor"),AND(H43="Baja",L43="Moderado"),AND(H43="Media",L43="Leve"),AND(H43="Media",L43="Menor"),AND(H43="Media",L43="Moderado"),AND(H43="Alta",L43="Leve"),AND(H43="Alta",L43="Menor")),"Moderado",IF(OR(AND(H43="Muy Baja",L43="Mayor"),AND(H43="Baja",L43="Mayor"),AND(H43="Media",L43="Mayor"),AND(H43="Alta",L43="Moderado"),AND(H43="Alta",L43="Mayor"),AND(H43="Muy Alta",L43="Leve"),AND(H43="Muy Alta",L43="Menor"),AND(H43="Muy Alta",L43="Moderado"),AND(H43="Muy Alta",L43="Mayor")),"Alto",IF(OR(AND(H43="Muy Baja",L43="Catastrófico"),AND(H43="Baja",L43="Catastrófico"),AND(H43="Media",L43="Catastrófico"),AND(H43="Alta",L43="Catastrófico"),AND(H43="Muy Alta",L43="Catastrófico")),"Extremo",""))))</f>
        <v/>
      </c>
      <c r="O43" s="123">
        <v>1</v>
      </c>
      <c r="P43" s="124"/>
      <c r="Q43" s="125" t="str">
        <f>IF(OR(R43="Preventivo",R43="Detectivo"),"Probabilidad",IF(R43="Correctivo","Impacto",""))</f>
        <v/>
      </c>
      <c r="R43" s="126"/>
      <c r="S43" s="126"/>
      <c r="T43" s="127" t="str">
        <f>IF(AND(R43="Preventivo",S43="Automático"),"50%",IF(AND(R43="Preventivo",S43="Manual"),"40%",IF(AND(R43="Detectivo",S43="Automático"),"40%",IF(AND(R43="Detectivo",S43="Manual"),"30%",IF(AND(R43="Correctivo",S43="Automático"),"35%",IF(AND(R43="Correctivo",S43="Manual"),"25%",""))))))</f>
        <v/>
      </c>
      <c r="U43" s="126"/>
      <c r="V43" s="126"/>
      <c r="W43" s="126"/>
      <c r="X43" s="128" t="str">
        <f>IFERROR(IF(Q43="Probabilidad",(I43-(+I43*T43)),IF(Q43="Impacto",I43,"")),"")</f>
        <v/>
      </c>
      <c r="Y43" s="129" t="str">
        <f>IFERROR(IF(X43="","",IF(X43&lt;=0.2,"Muy Baja",IF(X43&lt;=0.4,"Baja",IF(X43&lt;=0.6,"Media",IF(X43&lt;=0.8,"Alta","Muy Alta"))))),"")</f>
        <v/>
      </c>
      <c r="Z43" s="130" t="str">
        <f>+X43</f>
        <v/>
      </c>
      <c r="AA43" s="129" t="str">
        <f>IFERROR(IF(AB43="","",IF(AB43&lt;=0.2,"Leve",IF(AB43&lt;=0.4,"Menor",IF(AB43&lt;=0.6,"Moderado",IF(AB43&lt;=0.8,"Mayor","Catastrófico"))))),"")</f>
        <v/>
      </c>
      <c r="AB43" s="130" t="str">
        <f>IFERROR(IF(Q43="Impacto",(M43-(+M43*T43)),IF(Q43="Probabilidad",M43,"")),"")</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35.25" customHeight="1" x14ac:dyDescent="0.3">
      <c r="A44" s="214"/>
      <c r="B44" s="217"/>
      <c r="C44" s="217"/>
      <c r="D44" s="217"/>
      <c r="E44" s="220"/>
      <c r="F44" s="217"/>
      <c r="G44" s="223"/>
      <c r="H44" s="226"/>
      <c r="I44" s="229"/>
      <c r="J44" s="232"/>
      <c r="K44" s="229">
        <f>IF(NOT(ISERROR(MATCH(J44,_xlfn.ANCHORARRAY(E55),0))),I57&amp;"Por favor no seleccionar los criterios de impacto",J44)</f>
        <v>0</v>
      </c>
      <c r="L44" s="226"/>
      <c r="M44" s="229"/>
      <c r="N44" s="235"/>
      <c r="O44" s="123">
        <v>2</v>
      </c>
      <c r="P44" s="124"/>
      <c r="Q44" s="125" t="str">
        <f>IF(OR(R44="Preventivo",R44="Detectivo"),"Probabilidad",IF(R44="Correctivo","Impacto",""))</f>
        <v/>
      </c>
      <c r="R44" s="126"/>
      <c r="S44" s="126"/>
      <c r="T44" s="127" t="str">
        <f t="shared" ref="T44:T48" si="41">IF(AND(R44="Preventivo",S44="Automático"),"50%",IF(AND(R44="Preventivo",S44="Manual"),"40%",IF(AND(R44="Detectivo",S44="Automático"),"40%",IF(AND(R44="Detectivo",S44="Manual"),"30%",IF(AND(R44="Correctivo",S44="Automático"),"35%",IF(AND(R44="Correctivo",S44="Manual"),"25%",""))))))</f>
        <v/>
      </c>
      <c r="U44" s="126"/>
      <c r="V44" s="126"/>
      <c r="W44" s="126"/>
      <c r="X44" s="128" t="str">
        <f>IFERROR(IF(AND(Q43="Probabilidad",Q44="Probabilidad"),(Z43-(+Z43*T44)),IF(Q44="Probabilidad",(I43-(+I43*T44)),IF(Q44="Impacto",Z43,""))),"")</f>
        <v/>
      </c>
      <c r="Y44" s="129" t="str">
        <f t="shared" si="2"/>
        <v/>
      </c>
      <c r="Z44" s="130" t="str">
        <f t="shared" ref="Z44:Z48" si="42">+X44</f>
        <v/>
      </c>
      <c r="AA44" s="129" t="str">
        <f t="shared" si="4"/>
        <v/>
      </c>
      <c r="AB44" s="130" t="str">
        <f>IFERROR(IF(AND(Q43="Impacto",Q44="Impacto"),(AB43-(+AB43*T44)),IF(Q44="Impacto",(M43-(+M43*T44)),IF(Q44="Probabilidad",AB43,""))),"")</f>
        <v/>
      </c>
      <c r="AC44" s="131" t="str">
        <f t="shared" ref="AC44:AC45" si="43">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35.25" customHeight="1" x14ac:dyDescent="0.3">
      <c r="A45" s="214"/>
      <c r="B45" s="217"/>
      <c r="C45" s="217"/>
      <c r="D45" s="217"/>
      <c r="E45" s="220"/>
      <c r="F45" s="217"/>
      <c r="G45" s="223"/>
      <c r="H45" s="226"/>
      <c r="I45" s="229"/>
      <c r="J45" s="232"/>
      <c r="K45" s="229">
        <f>IF(NOT(ISERROR(MATCH(J45,_xlfn.ANCHORARRAY(E56),0))),I58&amp;"Por favor no seleccionar los criterios de impacto",J45)</f>
        <v>0</v>
      </c>
      <c r="L45" s="226"/>
      <c r="M45" s="229"/>
      <c r="N45" s="235"/>
      <c r="O45" s="123">
        <v>3</v>
      </c>
      <c r="P45" s="136"/>
      <c r="Q45" s="125" t="str">
        <f>IF(OR(R45="Preventivo",R45="Detectivo"),"Probabilidad",IF(R45="Correctivo","Impacto",""))</f>
        <v/>
      </c>
      <c r="R45" s="126"/>
      <c r="S45" s="126"/>
      <c r="T45" s="127" t="str">
        <f t="shared" si="41"/>
        <v/>
      </c>
      <c r="U45" s="126"/>
      <c r="V45" s="126"/>
      <c r="W45" s="126"/>
      <c r="X45" s="128" t="str">
        <f>IFERROR(IF(AND(Q44="Probabilidad",Q45="Probabilidad"),(Z44-(+Z44*T45)),IF(AND(Q44="Impacto",Q45="Probabilidad"),(Z43-(+Z43*T45)),IF(Q45="Impacto",Z44,""))),"")</f>
        <v/>
      </c>
      <c r="Y45" s="129" t="str">
        <f t="shared" si="2"/>
        <v/>
      </c>
      <c r="Z45" s="130" t="str">
        <f t="shared" si="42"/>
        <v/>
      </c>
      <c r="AA45" s="129" t="str">
        <f t="shared" si="4"/>
        <v/>
      </c>
      <c r="AB45" s="130" t="str">
        <f>IFERROR(IF(AND(Q44="Impacto",Q45="Impacto"),(AB44-(+AB44*T45)),IF(AND(Q44="Probabilidad",Q45="Impacto"),(AB43-(+AB43*T45)),IF(Q45="Probabilidad",AB44,""))),"")</f>
        <v/>
      </c>
      <c r="AC45" s="131" t="str">
        <f t="shared" si="43"/>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35.25" customHeight="1" x14ac:dyDescent="0.3">
      <c r="A46" s="214"/>
      <c r="B46" s="217"/>
      <c r="C46" s="217"/>
      <c r="D46" s="217"/>
      <c r="E46" s="220"/>
      <c r="F46" s="217"/>
      <c r="G46" s="223"/>
      <c r="H46" s="226"/>
      <c r="I46" s="229"/>
      <c r="J46" s="232"/>
      <c r="K46" s="229">
        <f>IF(NOT(ISERROR(MATCH(J46,_xlfn.ANCHORARRAY(E57),0))),I59&amp;"Por favor no seleccionar los criterios de impacto",J46)</f>
        <v>0</v>
      </c>
      <c r="L46" s="226"/>
      <c r="M46" s="229"/>
      <c r="N46" s="235"/>
      <c r="O46" s="123">
        <v>4</v>
      </c>
      <c r="P46" s="124"/>
      <c r="Q46" s="125" t="str">
        <f t="shared" ref="Q46:Q48" si="44">IF(OR(R46="Preventivo",R46="Detectivo"),"Probabilidad",IF(R46="Correctivo","Impacto",""))</f>
        <v/>
      </c>
      <c r="R46" s="126"/>
      <c r="S46" s="126"/>
      <c r="T46" s="127" t="str">
        <f t="shared" si="41"/>
        <v/>
      </c>
      <c r="U46" s="126"/>
      <c r="V46" s="126"/>
      <c r="W46" s="126"/>
      <c r="X46" s="128" t="str">
        <f t="shared" ref="X46:X48" si="45">IFERROR(IF(AND(Q45="Probabilidad",Q46="Probabilidad"),(Z45-(+Z45*T46)),IF(AND(Q45="Impacto",Q46="Probabilidad"),(Z44-(+Z44*T46)),IF(Q46="Impacto",Z45,""))),"")</f>
        <v/>
      </c>
      <c r="Y46" s="129" t="str">
        <f t="shared" si="2"/>
        <v/>
      </c>
      <c r="Z46" s="130" t="str">
        <f t="shared" si="42"/>
        <v/>
      </c>
      <c r="AA46" s="129" t="str">
        <f t="shared" si="4"/>
        <v/>
      </c>
      <c r="AB46" s="130" t="str">
        <f t="shared" ref="AB46:AB48" si="46">IFERROR(IF(AND(Q45="Impacto",Q46="Impacto"),(AB45-(+AB45*T46)),IF(AND(Q45="Probabilidad",Q46="Impacto"),(AB44-(+AB44*T46)),IF(Q46="Probabilidad",AB45,""))),"")</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35.25" customHeight="1" x14ac:dyDescent="0.3">
      <c r="A47" s="214"/>
      <c r="B47" s="217"/>
      <c r="C47" s="217"/>
      <c r="D47" s="217"/>
      <c r="E47" s="220"/>
      <c r="F47" s="217"/>
      <c r="G47" s="223"/>
      <c r="H47" s="226"/>
      <c r="I47" s="229"/>
      <c r="J47" s="232"/>
      <c r="K47" s="229">
        <f>IF(NOT(ISERROR(MATCH(J47,_xlfn.ANCHORARRAY(E58),0))),I60&amp;"Por favor no seleccionar los criterios de impacto",J47)</f>
        <v>0</v>
      </c>
      <c r="L47" s="226"/>
      <c r="M47" s="229"/>
      <c r="N47" s="235"/>
      <c r="O47" s="123">
        <v>5</v>
      </c>
      <c r="P47" s="124"/>
      <c r="Q47" s="125" t="str">
        <f t="shared" si="44"/>
        <v/>
      </c>
      <c r="R47" s="126"/>
      <c r="S47" s="126"/>
      <c r="T47" s="127" t="str">
        <f t="shared" si="41"/>
        <v/>
      </c>
      <c r="U47" s="126"/>
      <c r="V47" s="126"/>
      <c r="W47" s="126"/>
      <c r="X47" s="128" t="str">
        <f t="shared" si="45"/>
        <v/>
      </c>
      <c r="Y47" s="129" t="str">
        <f t="shared" si="2"/>
        <v/>
      </c>
      <c r="Z47" s="130" t="str">
        <f t="shared" si="42"/>
        <v/>
      </c>
      <c r="AA47" s="129" t="str">
        <f t="shared" si="4"/>
        <v/>
      </c>
      <c r="AB47" s="130" t="str">
        <f t="shared" si="46"/>
        <v/>
      </c>
      <c r="AC47" s="131" t="str">
        <f t="shared" ref="AC47:AC48" si="47">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35.25" customHeight="1" x14ac:dyDescent="0.3">
      <c r="A48" s="215"/>
      <c r="B48" s="218"/>
      <c r="C48" s="218"/>
      <c r="D48" s="218"/>
      <c r="E48" s="221"/>
      <c r="F48" s="218"/>
      <c r="G48" s="224"/>
      <c r="H48" s="227"/>
      <c r="I48" s="230"/>
      <c r="J48" s="233"/>
      <c r="K48" s="230">
        <f>IF(NOT(ISERROR(MATCH(J48,_xlfn.ANCHORARRAY(E59),0))),I61&amp;"Por favor no seleccionar los criterios de impacto",J48)</f>
        <v>0</v>
      </c>
      <c r="L48" s="227"/>
      <c r="M48" s="230"/>
      <c r="N48" s="236"/>
      <c r="O48" s="123">
        <v>6</v>
      </c>
      <c r="P48" s="124"/>
      <c r="Q48" s="125" t="str">
        <f t="shared" si="44"/>
        <v/>
      </c>
      <c r="R48" s="126"/>
      <c r="S48" s="126"/>
      <c r="T48" s="127" t="str">
        <f t="shared" si="41"/>
        <v/>
      </c>
      <c r="U48" s="126"/>
      <c r="V48" s="126"/>
      <c r="W48" s="126"/>
      <c r="X48" s="128" t="str">
        <f t="shared" si="45"/>
        <v/>
      </c>
      <c r="Y48" s="129" t="str">
        <f t="shared" si="2"/>
        <v/>
      </c>
      <c r="Z48" s="130" t="str">
        <f t="shared" si="42"/>
        <v/>
      </c>
      <c r="AA48" s="129" t="str">
        <f t="shared" si="4"/>
        <v/>
      </c>
      <c r="AB48" s="130" t="str">
        <f t="shared" si="46"/>
        <v/>
      </c>
      <c r="AC48" s="131" t="str">
        <f t="shared" si="47"/>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35.25" customHeight="1" x14ac:dyDescent="0.3">
      <c r="A49" s="213">
        <v>10</v>
      </c>
      <c r="B49" s="216"/>
      <c r="C49" s="216"/>
      <c r="D49" s="216"/>
      <c r="E49" s="219"/>
      <c r="F49" s="216"/>
      <c r="G49" s="222"/>
      <c r="H49" s="225" t="str">
        <f>IF(G49&lt;=0,"",IF(G49&lt;=2,"Muy Baja",IF(G49&lt;=24,"Baja",IF(G49&lt;=500,"Media",IF(G49&lt;=5000,"Alta","Muy Alta")))))</f>
        <v/>
      </c>
      <c r="I49" s="228" t="str">
        <f>IF(H49="","",IF(H49="Muy Baja",0.2,IF(H49="Baja",0.4,IF(H49="Media",0.6,IF(H49="Alta",0.8,IF(H49="Muy Alta",1,))))))</f>
        <v/>
      </c>
      <c r="J49" s="231"/>
      <c r="K49" s="228">
        <f>IF(NOT(ISERROR(MATCH(J49,'Tabla Impacto'!$B$221:$B$223,0))),'Tabla Impacto'!$F$223&amp;"Por favor no seleccionar los criterios de impacto(Afectación Económica o presupuestal y Pérdida Reputacional)",J49)</f>
        <v>0</v>
      </c>
      <c r="L49" s="225" t="str">
        <f>IF(OR(K49='Tabla Impacto'!$C$11,K49='Tabla Impacto'!$D$11),"Leve",IF(OR(K49='Tabla Impacto'!$C$12,K49='Tabla Impacto'!$D$12),"Menor",IF(OR(K49='Tabla Impacto'!$C$13,K49='Tabla Impacto'!$D$13),"Moderado",IF(OR(K49='Tabla Impacto'!$C$14,K49='Tabla Impacto'!$D$14),"Mayor",IF(OR(K49='Tabla Impacto'!$C$15,K49='Tabla Impacto'!$D$15),"Catastrófico","")))))</f>
        <v/>
      </c>
      <c r="M49" s="228" t="str">
        <f>IF(L49="","",IF(L49="Leve",0.2,IF(L49="Menor",0.4,IF(L49="Moderado",0.6,IF(L49="Mayor",0.8,IF(L49="Catastrófico",1,))))))</f>
        <v/>
      </c>
      <c r="N49" s="234" t="str">
        <f>IF(OR(AND(H49="Muy Baja",L49="Leve"),AND(H49="Muy Baja",L49="Menor"),AND(H49="Baja",L49="Leve")),"Bajo",IF(OR(AND(H49="Muy baja",L49="Moderado"),AND(H49="Baja",L49="Menor"),AND(H49="Baja",L49="Moderado"),AND(H49="Media",L49="Leve"),AND(H49="Media",L49="Menor"),AND(H49="Media",L49="Moderado"),AND(H49="Alta",L49="Leve"),AND(H49="Alta",L49="Menor")),"Moderado",IF(OR(AND(H49="Muy Baja",L49="Mayor"),AND(H49="Baja",L49="Mayor"),AND(H49="Media",L49="Mayor"),AND(H49="Alta",L49="Moderado"),AND(H49="Alta",L49="Mayor"),AND(H49="Muy Alta",L49="Leve"),AND(H49="Muy Alta",L49="Menor"),AND(H49="Muy Alta",L49="Moderado"),AND(H49="Muy Alta",L49="Mayor")),"Alto",IF(OR(AND(H49="Muy Baja",L49="Catastrófico"),AND(H49="Baja",L49="Catastrófico"),AND(H49="Media",L49="Catastrófico"),AND(H49="Alta",L49="Catastrófico"),AND(H49="Muy Alta",L49="Catastrófico")),"Extremo",""))))</f>
        <v/>
      </c>
      <c r="O49" s="123">
        <v>1</v>
      </c>
      <c r="P49" s="124"/>
      <c r="Q49" s="125" t="str">
        <f>IF(OR(R49="Preventivo",R49="Detectivo"),"Probabilidad",IF(R49="Correctivo","Impacto",""))</f>
        <v/>
      </c>
      <c r="R49" s="126"/>
      <c r="S49" s="126"/>
      <c r="T49" s="127" t="str">
        <f>IF(AND(R49="Preventivo",S49="Automático"),"50%",IF(AND(R49="Preventivo",S49="Manual"),"40%",IF(AND(R49="Detectivo",S49="Automático"),"40%",IF(AND(R49="Detectivo",S49="Manual"),"30%",IF(AND(R49="Correctivo",S49="Automático"),"35%",IF(AND(R49="Correctivo",S49="Manual"),"25%",""))))))</f>
        <v/>
      </c>
      <c r="U49" s="126"/>
      <c r="V49" s="126"/>
      <c r="W49" s="126"/>
      <c r="X49" s="128" t="str">
        <f>IFERROR(IF(Q49="Probabilidad",(I49-(+I49*T49)),IF(Q49="Impacto",I49,"")),"")</f>
        <v/>
      </c>
      <c r="Y49" s="129" t="str">
        <f>IFERROR(IF(X49="","",IF(X49&lt;=0.2,"Muy Baja",IF(X49&lt;=0.4,"Baja",IF(X49&lt;=0.6,"Media",IF(X49&lt;=0.8,"Alta","Muy Alta"))))),"")</f>
        <v/>
      </c>
      <c r="Z49" s="130" t="str">
        <f>+X49</f>
        <v/>
      </c>
      <c r="AA49" s="129" t="str">
        <f>IFERROR(IF(AB49="","",IF(AB49&lt;=0.2,"Leve",IF(AB49&lt;=0.4,"Menor",IF(AB49&lt;=0.6,"Moderado",IF(AB49&lt;=0.8,"Mayor","Catastrófico"))))),"")</f>
        <v/>
      </c>
      <c r="AB49" s="130" t="str">
        <f>IFERROR(IF(Q49="Impacto",(M49-(+M49*T49)),IF(Q49="Probabilidad",M49,"")),"")</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35.25" customHeight="1" x14ac:dyDescent="0.3">
      <c r="A50" s="214"/>
      <c r="B50" s="217"/>
      <c r="C50" s="217"/>
      <c r="D50" s="217"/>
      <c r="E50" s="220"/>
      <c r="F50" s="217"/>
      <c r="G50" s="223"/>
      <c r="H50" s="226"/>
      <c r="I50" s="229"/>
      <c r="J50" s="232"/>
      <c r="K50" s="229">
        <f>IF(NOT(ISERROR(MATCH(J50,_xlfn.ANCHORARRAY(E61),0))),I63&amp;"Por favor no seleccionar los criterios de impacto",J50)</f>
        <v>0</v>
      </c>
      <c r="L50" s="226"/>
      <c r="M50" s="229"/>
      <c r="N50" s="235"/>
      <c r="O50" s="123">
        <v>2</v>
      </c>
      <c r="P50" s="124"/>
      <c r="Q50" s="125" t="str">
        <f>IF(OR(R50="Preventivo",R50="Detectivo"),"Probabilidad",IF(R50="Correctivo","Impacto",""))</f>
        <v/>
      </c>
      <c r="R50" s="126"/>
      <c r="S50" s="126"/>
      <c r="T50" s="127" t="str">
        <f t="shared" ref="T50:T54" si="48">IF(AND(R50="Preventivo",S50="Automático"),"50%",IF(AND(R50="Preventivo",S50="Manual"),"40%",IF(AND(R50="Detectivo",S50="Automático"),"40%",IF(AND(R50="Detectivo",S50="Manual"),"30%",IF(AND(R50="Correctivo",S50="Automático"),"35%",IF(AND(R50="Correctivo",S50="Manual"),"25%",""))))))</f>
        <v/>
      </c>
      <c r="U50" s="126"/>
      <c r="V50" s="126"/>
      <c r="W50" s="126"/>
      <c r="X50" s="128" t="str">
        <f>IFERROR(IF(AND(Q49="Probabilidad",Q50="Probabilidad"),(Z49-(+Z49*T50)),IF(Q50="Probabilidad",(I49-(+I49*T50)),IF(Q50="Impacto",Z49,""))),"")</f>
        <v/>
      </c>
      <c r="Y50" s="129" t="str">
        <f t="shared" si="2"/>
        <v/>
      </c>
      <c r="Z50" s="130" t="str">
        <f t="shared" ref="Z50:Z54" si="49">+X50</f>
        <v/>
      </c>
      <c r="AA50" s="129" t="str">
        <f t="shared" si="4"/>
        <v/>
      </c>
      <c r="AB50" s="130" t="str">
        <f>IFERROR(IF(AND(Q49="Impacto",Q50="Impacto"),(AB49-(+AB49*T50)),IF(Q50="Impacto",(M49-(+M49*T50)),IF(Q50="Probabilidad",AB49,""))),"")</f>
        <v/>
      </c>
      <c r="AC50" s="131" t="str">
        <f t="shared" ref="AC50:AC51" si="50">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row>
    <row r="51" spans="1:68" ht="35.25" customHeight="1" x14ac:dyDescent="0.3">
      <c r="A51" s="214"/>
      <c r="B51" s="217"/>
      <c r="C51" s="217"/>
      <c r="D51" s="217"/>
      <c r="E51" s="220"/>
      <c r="F51" s="217"/>
      <c r="G51" s="223"/>
      <c r="H51" s="226"/>
      <c r="I51" s="229"/>
      <c r="J51" s="232"/>
      <c r="K51" s="229">
        <f>IF(NOT(ISERROR(MATCH(J51,_xlfn.ANCHORARRAY(E62),0))),I64&amp;"Por favor no seleccionar los criterios de impacto",J51)</f>
        <v>0</v>
      </c>
      <c r="L51" s="226"/>
      <c r="M51" s="229"/>
      <c r="N51" s="235"/>
      <c r="O51" s="123">
        <v>3</v>
      </c>
      <c r="P51" s="136"/>
      <c r="Q51" s="125" t="str">
        <f>IF(OR(R51="Preventivo",R51="Detectivo"),"Probabilidad",IF(R51="Correctivo","Impacto",""))</f>
        <v/>
      </c>
      <c r="R51" s="126"/>
      <c r="S51" s="126"/>
      <c r="T51" s="127" t="str">
        <f t="shared" si="48"/>
        <v/>
      </c>
      <c r="U51" s="126"/>
      <c r="V51" s="126"/>
      <c r="W51" s="126"/>
      <c r="X51" s="128" t="str">
        <f>IFERROR(IF(AND(Q50="Probabilidad",Q51="Probabilidad"),(Z50-(+Z50*T51)),IF(AND(Q50="Impacto",Q51="Probabilidad"),(Z49-(+Z49*T51)),IF(Q51="Impacto",Z50,""))),"")</f>
        <v/>
      </c>
      <c r="Y51" s="129" t="str">
        <f t="shared" si="2"/>
        <v/>
      </c>
      <c r="Z51" s="130" t="str">
        <f t="shared" si="49"/>
        <v/>
      </c>
      <c r="AA51" s="129" t="str">
        <f t="shared" si="4"/>
        <v/>
      </c>
      <c r="AB51" s="130" t="str">
        <f>IFERROR(IF(AND(Q50="Impacto",Q51="Impacto"),(AB50-(+AB50*T51)),IF(AND(Q50="Probabilidad",Q51="Impacto"),(AB49-(+AB49*T51)),IF(Q51="Probabilidad",AB50,""))),"")</f>
        <v/>
      </c>
      <c r="AC51" s="131" t="str">
        <f t="shared" si="50"/>
        <v/>
      </c>
      <c r="AD51" s="132"/>
      <c r="AE51" s="133"/>
      <c r="AF51" s="134"/>
      <c r="AG51" s="135"/>
      <c r="AH51" s="135"/>
      <c r="AI51" s="133"/>
      <c r="AJ51" s="134"/>
    </row>
    <row r="52" spans="1:68" ht="35.25" customHeight="1" x14ac:dyDescent="0.3">
      <c r="A52" s="214"/>
      <c r="B52" s="217"/>
      <c r="C52" s="217"/>
      <c r="D52" s="217"/>
      <c r="E52" s="220"/>
      <c r="F52" s="217"/>
      <c r="G52" s="223"/>
      <c r="H52" s="226"/>
      <c r="I52" s="229"/>
      <c r="J52" s="232"/>
      <c r="K52" s="229">
        <f>IF(NOT(ISERROR(MATCH(J52,_xlfn.ANCHORARRAY(E63),0))),I65&amp;"Por favor no seleccionar los criterios de impacto",J52)</f>
        <v>0</v>
      </c>
      <c r="L52" s="226"/>
      <c r="M52" s="229"/>
      <c r="N52" s="235"/>
      <c r="O52" s="123">
        <v>4</v>
      </c>
      <c r="P52" s="124"/>
      <c r="Q52" s="125" t="str">
        <f t="shared" ref="Q52:Q54" si="51">IF(OR(R52="Preventivo",R52="Detectivo"),"Probabilidad",IF(R52="Correctivo","Impacto",""))</f>
        <v/>
      </c>
      <c r="R52" s="126"/>
      <c r="S52" s="126"/>
      <c r="T52" s="127" t="str">
        <f t="shared" si="48"/>
        <v/>
      </c>
      <c r="U52" s="126"/>
      <c r="V52" s="126"/>
      <c r="W52" s="126"/>
      <c r="X52" s="128" t="str">
        <f t="shared" ref="X52:X54" si="52">IFERROR(IF(AND(Q51="Probabilidad",Q52="Probabilidad"),(Z51-(+Z51*T52)),IF(AND(Q51="Impacto",Q52="Probabilidad"),(Z50-(+Z50*T52)),IF(Q52="Impacto",Z51,""))),"")</f>
        <v/>
      </c>
      <c r="Y52" s="129" t="str">
        <f t="shared" si="2"/>
        <v/>
      </c>
      <c r="Z52" s="130" t="str">
        <f t="shared" si="49"/>
        <v/>
      </c>
      <c r="AA52" s="129" t="str">
        <f t="shared" si="4"/>
        <v/>
      </c>
      <c r="AB52" s="130" t="str">
        <f t="shared" ref="AB52:AB54" si="53">IFERROR(IF(AND(Q51="Impacto",Q52="Impacto"),(AB51-(+AB51*T52)),IF(AND(Q51="Probabilidad",Q52="Impacto"),(AB50-(+AB50*T52)),IF(Q52="Probabilidad",AB51,""))),"")</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row>
    <row r="53" spans="1:68" ht="35.25" customHeight="1" x14ac:dyDescent="0.3">
      <c r="A53" s="214"/>
      <c r="B53" s="217"/>
      <c r="C53" s="217"/>
      <c r="D53" s="217"/>
      <c r="E53" s="220"/>
      <c r="F53" s="217"/>
      <c r="G53" s="223"/>
      <c r="H53" s="226"/>
      <c r="I53" s="229"/>
      <c r="J53" s="232"/>
      <c r="K53" s="229">
        <f>IF(NOT(ISERROR(MATCH(J53,_xlfn.ANCHORARRAY(E64),0))),I66&amp;"Por favor no seleccionar los criterios de impacto",J53)</f>
        <v>0</v>
      </c>
      <c r="L53" s="226"/>
      <c r="M53" s="229"/>
      <c r="N53" s="235"/>
      <c r="O53" s="123">
        <v>5</v>
      </c>
      <c r="P53" s="124"/>
      <c r="Q53" s="125" t="str">
        <f t="shared" si="51"/>
        <v/>
      </c>
      <c r="R53" s="126"/>
      <c r="S53" s="126"/>
      <c r="T53" s="127" t="str">
        <f t="shared" si="48"/>
        <v/>
      </c>
      <c r="U53" s="126"/>
      <c r="V53" s="126"/>
      <c r="W53" s="126"/>
      <c r="X53" s="128" t="str">
        <f t="shared" si="52"/>
        <v/>
      </c>
      <c r="Y53" s="129" t="str">
        <f t="shared" si="2"/>
        <v/>
      </c>
      <c r="Z53" s="130" t="str">
        <f t="shared" si="49"/>
        <v/>
      </c>
      <c r="AA53" s="129" t="str">
        <f t="shared" si="4"/>
        <v/>
      </c>
      <c r="AB53" s="130" t="str">
        <f t="shared" si="53"/>
        <v/>
      </c>
      <c r="AC53" s="131" t="str">
        <f t="shared" ref="AC53:AC54" si="54">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row>
    <row r="54" spans="1:68" ht="35.25" customHeight="1" x14ac:dyDescent="0.3">
      <c r="A54" s="215"/>
      <c r="B54" s="218"/>
      <c r="C54" s="218"/>
      <c r="D54" s="218"/>
      <c r="E54" s="221"/>
      <c r="F54" s="218"/>
      <c r="G54" s="224"/>
      <c r="H54" s="227"/>
      <c r="I54" s="230"/>
      <c r="J54" s="233"/>
      <c r="K54" s="230">
        <f>IF(NOT(ISERROR(MATCH(J54,_xlfn.ANCHORARRAY(E65),0))),I67&amp;"Por favor no seleccionar los criterios de impacto",J54)</f>
        <v>0</v>
      </c>
      <c r="L54" s="227"/>
      <c r="M54" s="230"/>
      <c r="N54" s="236"/>
      <c r="O54" s="123">
        <v>6</v>
      </c>
      <c r="P54" s="124"/>
      <c r="Q54" s="125" t="str">
        <f t="shared" si="51"/>
        <v/>
      </c>
      <c r="R54" s="126"/>
      <c r="S54" s="126"/>
      <c r="T54" s="127" t="str">
        <f t="shared" si="48"/>
        <v/>
      </c>
      <c r="U54" s="126"/>
      <c r="V54" s="126"/>
      <c r="W54" s="126"/>
      <c r="X54" s="128" t="str">
        <f t="shared" si="52"/>
        <v/>
      </c>
      <c r="Y54" s="129" t="str">
        <f t="shared" si="2"/>
        <v/>
      </c>
      <c r="Z54" s="130" t="str">
        <f t="shared" si="49"/>
        <v/>
      </c>
      <c r="AA54" s="129" t="str">
        <f t="shared" si="4"/>
        <v/>
      </c>
      <c r="AB54" s="130" t="str">
        <f t="shared" si="53"/>
        <v/>
      </c>
      <c r="AC54" s="131" t="str">
        <f t="shared" si="54"/>
        <v/>
      </c>
      <c r="AD54" s="132"/>
      <c r="AE54" s="133"/>
      <c r="AF54" s="134"/>
      <c r="AG54" s="135"/>
      <c r="AH54" s="135"/>
      <c r="AI54" s="133"/>
      <c r="AJ54" s="134"/>
    </row>
    <row r="55" spans="1:68" ht="49.5" customHeight="1" x14ac:dyDescent="0.3">
      <c r="A55" s="6"/>
      <c r="B55" s="246" t="s">
        <v>131</v>
      </c>
      <c r="C55" s="247"/>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c r="AH55" s="247"/>
      <c r="AI55" s="247"/>
      <c r="AJ55" s="248"/>
    </row>
    <row r="57" spans="1:68" x14ac:dyDescent="0.3">
      <c r="A57" s="1"/>
      <c r="B57" s="24" t="s">
        <v>143</v>
      </c>
      <c r="C57" s="1"/>
      <c r="D57" s="1"/>
      <c r="F57" s="1"/>
    </row>
  </sheetData>
  <dataConsolidate/>
  <mergeCells count="143">
    <mergeCell ref="A1:AJ2"/>
    <mergeCell ref="A7:G7"/>
    <mergeCell ref="H7:N7"/>
    <mergeCell ref="O7:W7"/>
    <mergeCell ref="X7:AD7"/>
    <mergeCell ref="AE7:AJ7"/>
    <mergeCell ref="B55:AJ55"/>
    <mergeCell ref="M43:M48"/>
    <mergeCell ref="N43:N48"/>
    <mergeCell ref="A49:A54"/>
    <mergeCell ref="B49:B54"/>
    <mergeCell ref="C49:C54"/>
    <mergeCell ref="D49:D54"/>
    <mergeCell ref="E49:E54"/>
    <mergeCell ref="F49:F54"/>
    <mergeCell ref="G49:G54"/>
    <mergeCell ref="H49:H54"/>
    <mergeCell ref="I49:I54"/>
    <mergeCell ref="J49:J54"/>
    <mergeCell ref="K49:K54"/>
    <mergeCell ref="L49:L54"/>
    <mergeCell ref="M49:M54"/>
    <mergeCell ref="N49:N54"/>
    <mergeCell ref="J43:J48"/>
    <mergeCell ref="K43:K48"/>
    <mergeCell ref="L43:L48"/>
    <mergeCell ref="A43:A48"/>
    <mergeCell ref="B43:B48"/>
    <mergeCell ref="C43:C48"/>
    <mergeCell ref="D43:D48"/>
    <mergeCell ref="E43:E48"/>
    <mergeCell ref="F43:F48"/>
    <mergeCell ref="G43:G48"/>
    <mergeCell ref="H43:H48"/>
    <mergeCell ref="I43:I48"/>
    <mergeCell ref="M31:M36"/>
    <mergeCell ref="N31:N36"/>
    <mergeCell ref="F37:F42"/>
    <mergeCell ref="G37:G42"/>
    <mergeCell ref="H37:H42"/>
    <mergeCell ref="I37:I42"/>
    <mergeCell ref="J37:J42"/>
    <mergeCell ref="F31:F36"/>
    <mergeCell ref="G31:G36"/>
    <mergeCell ref="H31:H36"/>
    <mergeCell ref="I31:I36"/>
    <mergeCell ref="K37:K42"/>
    <mergeCell ref="L37:L42"/>
    <mergeCell ref="M37:M42"/>
    <mergeCell ref="N37:N42"/>
    <mergeCell ref="J31:J36"/>
    <mergeCell ref="K31:K36"/>
    <mergeCell ref="L31:L36"/>
    <mergeCell ref="A19:A24"/>
    <mergeCell ref="B19:B24"/>
    <mergeCell ref="C19:C24"/>
    <mergeCell ref="A25:A30"/>
    <mergeCell ref="B25:B30"/>
    <mergeCell ref="C25:C30"/>
    <mergeCell ref="D25:D30"/>
    <mergeCell ref="E25:E30"/>
    <mergeCell ref="A37:A42"/>
    <mergeCell ref="B37:B42"/>
    <mergeCell ref="C37:C42"/>
    <mergeCell ref="D37:D42"/>
    <mergeCell ref="E37:E42"/>
    <mergeCell ref="A31:A36"/>
    <mergeCell ref="B31:B36"/>
    <mergeCell ref="C31:C36"/>
    <mergeCell ref="D31:D36"/>
    <mergeCell ref="E31:E36"/>
    <mergeCell ref="F25:F30"/>
    <mergeCell ref="D19:D24"/>
    <mergeCell ref="E19:E24"/>
    <mergeCell ref="J25:J30"/>
    <mergeCell ref="K25:K30"/>
    <mergeCell ref="L25:L30"/>
    <mergeCell ref="F19:F24"/>
    <mergeCell ref="G19:G24"/>
    <mergeCell ref="H19:H24"/>
    <mergeCell ref="I19:I24"/>
    <mergeCell ref="J19:J24"/>
    <mergeCell ref="G25:G30"/>
    <mergeCell ref="H25:H30"/>
    <mergeCell ref="I25:I30"/>
    <mergeCell ref="K19:K24"/>
    <mergeCell ref="L19:L24"/>
    <mergeCell ref="J13:J18"/>
    <mergeCell ref="K13:K18"/>
    <mergeCell ref="L13:L18"/>
    <mergeCell ref="M13:M18"/>
    <mergeCell ref="N13:N18"/>
    <mergeCell ref="M19:M24"/>
    <mergeCell ref="N19:N24"/>
    <mergeCell ref="M25:M30"/>
    <mergeCell ref="N25:N30"/>
    <mergeCell ref="A13:A18"/>
    <mergeCell ref="B13:B18"/>
    <mergeCell ref="C13:C18"/>
    <mergeCell ref="D13:D18"/>
    <mergeCell ref="E13:E18"/>
    <mergeCell ref="F13:F18"/>
    <mergeCell ref="G13:G18"/>
    <mergeCell ref="H13:H18"/>
    <mergeCell ref="I13:I18"/>
    <mergeCell ref="A4:B4"/>
    <mergeCell ref="A5:B5"/>
    <mergeCell ref="A6:B6"/>
    <mergeCell ref="A8:A9"/>
    <mergeCell ref="F8:F9"/>
    <mergeCell ref="E8:E9"/>
    <mergeCell ref="D8:D9"/>
    <mergeCell ref="C8:C9"/>
    <mergeCell ref="AD8:AD9"/>
    <mergeCell ref="C6:N6"/>
    <mergeCell ref="O8:O9"/>
    <mergeCell ref="AC8:AC9"/>
    <mergeCell ref="AB8:AB9"/>
    <mergeCell ref="X8:X9"/>
    <mergeCell ref="P8:P9"/>
    <mergeCell ref="C4:N4"/>
    <mergeCell ref="O4:Q4"/>
    <mergeCell ref="B8:B9"/>
    <mergeCell ref="N8:N9"/>
    <mergeCell ref="J8:J9"/>
    <mergeCell ref="K8:K9"/>
    <mergeCell ref="Q8:Q9"/>
    <mergeCell ref="R8:W8"/>
    <mergeCell ref="AE8:AE9"/>
    <mergeCell ref="AJ8:AJ9"/>
    <mergeCell ref="AI8:AI9"/>
    <mergeCell ref="AH8:AH9"/>
    <mergeCell ref="AG8:AG9"/>
    <mergeCell ref="AF8:AF9"/>
    <mergeCell ref="C5:Q5"/>
    <mergeCell ref="AA8:AA9"/>
    <mergeCell ref="Y8:Y9"/>
    <mergeCell ref="Z8:Z9"/>
    <mergeCell ref="G8:G9"/>
    <mergeCell ref="H8:H9"/>
    <mergeCell ref="I8:I9"/>
    <mergeCell ref="L8:L9"/>
    <mergeCell ref="M8:M9"/>
  </mergeCells>
  <conditionalFormatting sqref="H10:H13">
    <cfRule type="cellIs" dxfId="86" priority="1" operator="equal">
      <formula>"Muy Alta"</formula>
    </cfRule>
    <cfRule type="cellIs" dxfId="85" priority="2" operator="equal">
      <formula>"Alta"</formula>
    </cfRule>
    <cfRule type="cellIs" dxfId="84" priority="3" operator="equal">
      <formula>"Media"</formula>
    </cfRule>
    <cfRule type="cellIs" dxfId="83" priority="4" operator="equal">
      <formula>"Baja"</formula>
    </cfRule>
    <cfRule type="cellIs" dxfId="82" priority="5" operator="equal">
      <formula>"Muy Baja"</formula>
    </cfRule>
  </conditionalFormatting>
  <conditionalFormatting sqref="H19">
    <cfRule type="cellIs" dxfId="81" priority="170" operator="equal">
      <formula>"Muy Alta"</formula>
    </cfRule>
    <cfRule type="cellIs" dxfId="80" priority="173" operator="equal">
      <formula>"Baja"</formula>
    </cfRule>
    <cfRule type="cellIs" dxfId="79" priority="174" operator="equal">
      <formula>"Muy Baja"</formula>
    </cfRule>
    <cfRule type="cellIs" dxfId="78" priority="172" operator="equal">
      <formula>"Media"</formula>
    </cfRule>
    <cfRule type="cellIs" dxfId="77" priority="171" operator="equal">
      <formula>"Alta"</formula>
    </cfRule>
  </conditionalFormatting>
  <conditionalFormatting sqref="H25">
    <cfRule type="cellIs" dxfId="76" priority="146" operator="equal">
      <formula>"Muy Baja"</formula>
    </cfRule>
    <cfRule type="cellIs" dxfId="75" priority="145" operator="equal">
      <formula>"Baja"</formula>
    </cfRule>
    <cfRule type="cellIs" dxfId="74" priority="143" operator="equal">
      <formula>"Alta"</formula>
    </cfRule>
    <cfRule type="cellIs" dxfId="73" priority="142" operator="equal">
      <formula>"Muy Alta"</formula>
    </cfRule>
    <cfRule type="cellIs" dxfId="72" priority="144" operator="equal">
      <formula>"Media"</formula>
    </cfRule>
  </conditionalFormatting>
  <conditionalFormatting sqref="H31">
    <cfRule type="cellIs" dxfId="71" priority="118" operator="equal">
      <formula>"Muy Baja"</formula>
    </cfRule>
    <cfRule type="cellIs" dxfId="70" priority="117" operator="equal">
      <formula>"Baja"</formula>
    </cfRule>
    <cfRule type="cellIs" dxfId="69" priority="116" operator="equal">
      <formula>"Media"</formula>
    </cfRule>
    <cfRule type="cellIs" dxfId="68" priority="115" operator="equal">
      <formula>"Alta"</formula>
    </cfRule>
    <cfRule type="cellIs" dxfId="67" priority="114" operator="equal">
      <formula>"Muy Alta"</formula>
    </cfRule>
  </conditionalFormatting>
  <conditionalFormatting sqref="H37">
    <cfRule type="cellIs" dxfId="66" priority="86" operator="equal">
      <formula>"Muy Alta"</formula>
    </cfRule>
    <cfRule type="cellIs" dxfId="65" priority="87" operator="equal">
      <formula>"Alta"</formula>
    </cfRule>
    <cfRule type="cellIs" dxfId="64" priority="88" operator="equal">
      <formula>"Media"</formula>
    </cfRule>
    <cfRule type="cellIs" dxfId="63" priority="89" operator="equal">
      <formula>"Baja"</formula>
    </cfRule>
    <cfRule type="cellIs" dxfId="62" priority="90" operator="equal">
      <formula>"Muy Baja"</formula>
    </cfRule>
  </conditionalFormatting>
  <conditionalFormatting sqref="H43">
    <cfRule type="cellIs" dxfId="61" priority="58" operator="equal">
      <formula>"Muy Alta"</formula>
    </cfRule>
    <cfRule type="cellIs" dxfId="60" priority="62" operator="equal">
      <formula>"Muy Baja"</formula>
    </cfRule>
    <cfRule type="cellIs" dxfId="59" priority="61" operator="equal">
      <formula>"Baja"</formula>
    </cfRule>
    <cfRule type="cellIs" dxfId="58" priority="60" operator="equal">
      <formula>"Media"</formula>
    </cfRule>
    <cfRule type="cellIs" dxfId="57" priority="59" operator="equal">
      <formula>"Alta"</formula>
    </cfRule>
  </conditionalFormatting>
  <conditionalFormatting sqref="H49">
    <cfRule type="cellIs" dxfId="56" priority="30" operator="equal">
      <formula>"Muy Alta"</formula>
    </cfRule>
    <cfRule type="cellIs" dxfId="55" priority="31" operator="equal">
      <formula>"Alta"</formula>
    </cfRule>
    <cfRule type="cellIs" dxfId="54" priority="32" operator="equal">
      <formula>"Media"</formula>
    </cfRule>
    <cfRule type="cellIs" dxfId="53" priority="33" operator="equal">
      <formula>"Baja"</formula>
    </cfRule>
    <cfRule type="cellIs" dxfId="52" priority="34" operator="equal">
      <formula>"Muy Baja"</formula>
    </cfRule>
  </conditionalFormatting>
  <conditionalFormatting sqref="K10:K54">
    <cfRule type="containsText" dxfId="51" priority="6" operator="containsText" text="❌">
      <formula>NOT(ISERROR(SEARCH("❌",K10)))</formula>
    </cfRule>
  </conditionalFormatting>
  <conditionalFormatting sqref="L10:L13 L19 L25 L31 L37 L43 L49">
    <cfRule type="cellIs" dxfId="50" priority="323" operator="equal">
      <formula>"Leve"</formula>
    </cfRule>
    <cfRule type="cellIs" dxfId="49" priority="319" operator="equal">
      <formula>"Catastrófico"</formula>
    </cfRule>
    <cfRule type="cellIs" dxfId="48" priority="320" operator="equal">
      <formula>"Mayor"</formula>
    </cfRule>
    <cfRule type="cellIs" dxfId="47" priority="321" operator="equal">
      <formula>"Moderado"</formula>
    </cfRule>
    <cfRule type="cellIs" dxfId="46" priority="322" operator="equal">
      <formula>"Menor"</formula>
    </cfRule>
  </conditionalFormatting>
  <conditionalFormatting sqref="N10:N13">
    <cfRule type="cellIs" dxfId="45" priority="191" operator="equal">
      <formula>"Moderado"</formula>
    </cfRule>
    <cfRule type="cellIs" dxfId="44" priority="190" operator="equal">
      <formula>"Alto"</formula>
    </cfRule>
    <cfRule type="cellIs" dxfId="43" priority="189" operator="equal">
      <formula>"Extremo"</formula>
    </cfRule>
    <cfRule type="cellIs" dxfId="42" priority="192" operator="equal">
      <formula>"Bajo"</formula>
    </cfRule>
  </conditionalFormatting>
  <conditionalFormatting sqref="N19">
    <cfRule type="cellIs" dxfId="41" priority="163" operator="equal">
      <formula>"Moderado"</formula>
    </cfRule>
    <cfRule type="cellIs" dxfId="40" priority="164" operator="equal">
      <formula>"Bajo"</formula>
    </cfRule>
    <cfRule type="cellIs" dxfId="39" priority="162" operator="equal">
      <formula>"Alto"</formula>
    </cfRule>
    <cfRule type="cellIs" dxfId="38" priority="161" operator="equal">
      <formula>"Extremo"</formula>
    </cfRule>
  </conditionalFormatting>
  <conditionalFormatting sqref="N25">
    <cfRule type="cellIs" dxfId="37" priority="136" operator="equal">
      <formula>"Bajo"</formula>
    </cfRule>
    <cfRule type="cellIs" dxfId="36" priority="133" operator="equal">
      <formula>"Extremo"</formula>
    </cfRule>
    <cfRule type="cellIs" dxfId="35" priority="134" operator="equal">
      <formula>"Alto"</formula>
    </cfRule>
    <cfRule type="cellIs" dxfId="34" priority="135" operator="equal">
      <formula>"Moderado"</formula>
    </cfRule>
  </conditionalFormatting>
  <conditionalFormatting sqref="N31">
    <cfRule type="cellIs" dxfId="33" priority="106" operator="equal">
      <formula>"Alto"</formula>
    </cfRule>
    <cfRule type="cellIs" dxfId="32" priority="107" operator="equal">
      <formula>"Moderado"</formula>
    </cfRule>
    <cfRule type="cellIs" dxfId="31" priority="108" operator="equal">
      <formula>"Bajo"</formula>
    </cfRule>
    <cfRule type="cellIs" dxfId="30" priority="105" operator="equal">
      <formula>"Extremo"</formula>
    </cfRule>
  </conditionalFormatting>
  <conditionalFormatting sqref="N37">
    <cfRule type="cellIs" dxfId="29" priority="80" operator="equal">
      <formula>"Bajo"</formula>
    </cfRule>
    <cfRule type="cellIs" dxfId="28" priority="79" operator="equal">
      <formula>"Moderado"</formula>
    </cfRule>
    <cfRule type="cellIs" dxfId="27" priority="78" operator="equal">
      <formula>"Alto"</formula>
    </cfRule>
    <cfRule type="cellIs" dxfId="26" priority="77" operator="equal">
      <formula>"Extremo"</formula>
    </cfRule>
  </conditionalFormatting>
  <conditionalFormatting sqref="N43">
    <cfRule type="cellIs" dxfId="25" priority="51" operator="equal">
      <formula>"Moderado"</formula>
    </cfRule>
    <cfRule type="cellIs" dxfId="24" priority="52" operator="equal">
      <formula>"Bajo"</formula>
    </cfRule>
    <cfRule type="cellIs" dxfId="23" priority="49" operator="equal">
      <formula>"Extremo"</formula>
    </cfRule>
    <cfRule type="cellIs" dxfId="22" priority="50" operator="equal">
      <formula>"Alto"</formula>
    </cfRule>
  </conditionalFormatting>
  <conditionalFormatting sqref="N49">
    <cfRule type="cellIs" dxfId="21" priority="22" operator="equal">
      <formula>"Alto"</formula>
    </cfRule>
    <cfRule type="cellIs" dxfId="20" priority="24" operator="equal">
      <formula>"Bajo"</formula>
    </cfRule>
    <cfRule type="cellIs" dxfId="19" priority="23" operator="equal">
      <formula>"Moderado"</formula>
    </cfRule>
    <cfRule type="cellIs" dxfId="18" priority="21" operator="equal">
      <formula>"Extremo"</formula>
    </cfRule>
  </conditionalFormatting>
  <conditionalFormatting sqref="Y10:Y54">
    <cfRule type="cellIs" dxfId="17" priority="19" operator="equal">
      <formula>"Baja"</formula>
    </cfRule>
    <cfRule type="cellIs" dxfId="16" priority="16" operator="equal">
      <formula>"Muy Alta"</formula>
    </cfRule>
    <cfRule type="cellIs" dxfId="15" priority="18" operator="equal">
      <formula>"Media"</formula>
    </cfRule>
    <cfRule type="cellIs" dxfId="14" priority="17" operator="equal">
      <formula>"Alta"</formula>
    </cfRule>
    <cfRule type="cellIs" dxfId="13" priority="20" operator="equal">
      <formula>"Muy Baja"</formula>
    </cfRule>
  </conditionalFormatting>
  <conditionalFormatting sqref="AA10:AA54">
    <cfRule type="cellIs" dxfId="12" priority="11" operator="equal">
      <formula>"Catastrófico"</formula>
    </cfRule>
    <cfRule type="cellIs" dxfId="11" priority="15" operator="equal">
      <formula>"Leve"</formula>
    </cfRule>
    <cfRule type="cellIs" dxfId="10" priority="14" operator="equal">
      <formula>"Menor"</formula>
    </cfRule>
    <cfRule type="cellIs" dxfId="9" priority="13" operator="equal">
      <formula>"Moderado"</formula>
    </cfRule>
    <cfRule type="cellIs" dxfId="8" priority="12" operator="equal">
      <formula>"Mayor"</formula>
    </cfRule>
  </conditionalFormatting>
  <conditionalFormatting sqref="AC10:AC54">
    <cfRule type="cellIs" dxfId="7" priority="8" operator="equal">
      <formula>"Alto"</formula>
    </cfRule>
    <cfRule type="cellIs" dxfId="6" priority="7" operator="equal">
      <formula>"Extremo"</formula>
    </cfRule>
    <cfRule type="cellIs" dxfId="5" priority="10" operator="equal">
      <formula>"Bajo"</formula>
    </cfRule>
    <cfRule type="cellIs" dxfId="4" priority="9" operator="equal">
      <formula>"Moderado"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AJ10:AJ14 AJ16:AJ17 AJ19:AJ20 AJ22:AJ23 AJ25:AJ26 AJ28:AJ29 AJ31:AJ32 AJ34:AJ35 AJ37:AJ38 AJ40:AJ41 AJ43:AJ44 AJ46:AJ47 AJ49:AJ50 AJ52:AJ53</xm:sqref>
        </x14:dataValidation>
        <x14:dataValidation type="list" allowBlank="1" showInputMessage="1" showErrorMessage="1" xr:uid="{00000000-0002-0000-0100-000001000000}">
          <x14:formula1>
            <xm:f>'Tabla Valoración controles'!$D$4:$D$6</xm:f>
          </x14:formula1>
          <xm:sqref>R10:R54</xm:sqref>
        </x14:dataValidation>
        <x14:dataValidation type="list" allowBlank="1" showInputMessage="1" showErrorMessage="1" xr:uid="{00000000-0002-0000-0100-000002000000}">
          <x14:formula1>
            <xm:f>'Tabla Valoración controles'!$D$7:$D$8</xm:f>
          </x14:formula1>
          <xm:sqref>S10:S54</xm:sqref>
        </x14:dataValidation>
        <x14:dataValidation type="list" allowBlank="1" showInputMessage="1" showErrorMessage="1" xr:uid="{00000000-0002-0000-0100-000003000000}">
          <x14:formula1>
            <xm:f>'Tabla Valoración controles'!$D$9:$D$10</xm:f>
          </x14:formula1>
          <xm:sqref>U10:U54</xm:sqref>
        </x14:dataValidation>
        <x14:dataValidation type="list" allowBlank="1" showInputMessage="1" showErrorMessage="1" xr:uid="{00000000-0002-0000-0100-000004000000}">
          <x14:formula1>
            <xm:f>'Tabla Valoración controles'!$D$11:$D$12</xm:f>
          </x14:formula1>
          <xm:sqref>V10:V54</xm:sqref>
        </x14:dataValidation>
        <x14:dataValidation type="list" allowBlank="1" showInputMessage="1" showErrorMessage="1" xr:uid="{00000000-0002-0000-0100-000005000000}">
          <x14:formula1>
            <xm:f>'Tabla Valoración controles'!$D$13:$D$14</xm:f>
          </x14:formula1>
          <xm:sqref>W10:W54</xm:sqref>
        </x14:dataValidation>
        <x14:dataValidation type="list" allowBlank="1" showInputMessage="1" showErrorMessage="1" xr:uid="{00000000-0002-0000-0100-000006000000}">
          <x14:formula1>
            <xm:f>'Opciones Tratamiento'!$B$13:$B$19</xm:f>
          </x14:formula1>
          <xm:sqref>F10:F54</xm:sqref>
        </x14:dataValidation>
        <x14:dataValidation type="list" allowBlank="1" showInputMessage="1" showErrorMessage="1" xr:uid="{00000000-0002-0000-0100-000007000000}">
          <x14:formula1>
            <xm:f>'Opciones Tratamiento'!$E$2:$E$4</xm:f>
          </x14:formula1>
          <xm:sqref>B10:B54</xm:sqref>
        </x14:dataValidation>
        <x14:dataValidation type="list" allowBlank="1" showInputMessage="1" showErrorMessage="1" xr:uid="{00000000-0002-0000-0100-000008000000}">
          <x14:formula1>
            <xm:f>'Opciones Tratamiento'!$B$2:$B$5</xm:f>
          </x14:formula1>
          <xm:sqref>AD10:AD54</xm:sqref>
        </x14:dataValidation>
        <x14:dataValidation type="list" allowBlank="1" showInputMessage="1" showErrorMessage="1" xr:uid="{00000000-0002-0000-0100-000009000000}">
          <x14:formula1>
            <xm:f>'Tabla Impacto'!$F$210:$F$221</xm:f>
          </x14:formula1>
          <xm:sqref>J10:J54</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AE10:AE54</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AF10:AF54</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AG10:AG54</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AH10:AH54</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49" t="s">
        <v>161</v>
      </c>
      <c r="C2" s="249"/>
      <c r="D2" s="249"/>
      <c r="E2" s="249"/>
      <c r="F2" s="249"/>
      <c r="G2" s="249"/>
      <c r="H2" s="249"/>
      <c r="I2" s="249"/>
      <c r="J2" s="286" t="s">
        <v>2</v>
      </c>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49"/>
      <c r="C3" s="249"/>
      <c r="D3" s="249"/>
      <c r="E3" s="249"/>
      <c r="F3" s="249"/>
      <c r="G3" s="249"/>
      <c r="H3" s="249"/>
      <c r="I3" s="249"/>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49"/>
      <c r="C4" s="249"/>
      <c r="D4" s="249"/>
      <c r="E4" s="249"/>
      <c r="F4" s="249"/>
      <c r="G4" s="249"/>
      <c r="H4" s="249"/>
      <c r="I4" s="249"/>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97" t="s">
        <v>4</v>
      </c>
      <c r="C6" s="297"/>
      <c r="D6" s="298"/>
      <c r="E6" s="287" t="s">
        <v>116</v>
      </c>
      <c r="F6" s="288"/>
      <c r="G6" s="288"/>
      <c r="H6" s="288"/>
      <c r="I6" s="289"/>
      <c r="J6" s="283" t="str">
        <f>IF(AND('Mapa final'!$H$10="Muy Alta",'Mapa final'!$L$10="Leve"),CONCATENATE("R",'Mapa final'!$A$10),"")</f>
        <v/>
      </c>
      <c r="K6" s="284"/>
      <c r="L6" s="284" t="str">
        <f>IF(AND('Mapa final'!$H$11="Muy Alta",'Mapa final'!$L$11="Leve"),CONCATENATE("R",'Mapa final'!$A$11),"")</f>
        <v/>
      </c>
      <c r="M6" s="284"/>
      <c r="N6" s="284" t="str">
        <f>IF(AND('Mapa final'!$H$12="Muy Alta",'Mapa final'!$L$12="Leve"),CONCATENATE("R",'Mapa final'!$A$12),"")</f>
        <v/>
      </c>
      <c r="O6" s="285"/>
      <c r="P6" s="283" t="str">
        <f>IF(AND('Mapa final'!$H$10="Muy Alta",'Mapa final'!$L$10="Menor"),CONCATENATE("R",'Mapa final'!$A$10),"")</f>
        <v/>
      </c>
      <c r="Q6" s="284"/>
      <c r="R6" s="284" t="str">
        <f>IF(AND('Mapa final'!$H$11="Muy Alta",'Mapa final'!$L$11="Menor"),CONCATENATE("R",'Mapa final'!$A$11),"")</f>
        <v/>
      </c>
      <c r="S6" s="284"/>
      <c r="T6" s="284" t="str">
        <f>IF(AND('Mapa final'!$H$12="Muy Alta",'Mapa final'!$L$12="Menor"),CONCATENATE("R",'Mapa final'!$A$12),"")</f>
        <v/>
      </c>
      <c r="U6" s="285"/>
      <c r="V6" s="283" t="str">
        <f>IF(AND('Mapa final'!$H$10="Muy Alta",'Mapa final'!$L$10="Moderado"),CONCATENATE("R",'Mapa final'!$A$10),"")</f>
        <v/>
      </c>
      <c r="W6" s="284"/>
      <c r="X6" s="284" t="str">
        <f>IF(AND('Mapa final'!$H$11="Muy Alta",'Mapa final'!$L$11="Moderado"),CONCATENATE("R",'Mapa final'!$A$11),"")</f>
        <v/>
      </c>
      <c r="Y6" s="284"/>
      <c r="Z6" s="284" t="str">
        <f>IF(AND('Mapa final'!$H$12="Muy Alta",'Mapa final'!$L$12="Moderado"),CONCATENATE("R",'Mapa final'!$A$12),"")</f>
        <v/>
      </c>
      <c r="AA6" s="285"/>
      <c r="AB6" s="283" t="str">
        <f>IF(AND('Mapa final'!$H$10="Muy Alta",'Mapa final'!$L$10="Mayor"),CONCATENATE("R",'Mapa final'!$A$10),"")</f>
        <v/>
      </c>
      <c r="AC6" s="284"/>
      <c r="AD6" s="284" t="str">
        <f>IF(AND('Mapa final'!$H$11="Muy Alta",'Mapa final'!$L$11="Mayor"),CONCATENATE("R",'Mapa final'!$A$11),"")</f>
        <v/>
      </c>
      <c r="AE6" s="284"/>
      <c r="AF6" s="284" t="str">
        <f>IF(AND('Mapa final'!$H$12="Muy Alta",'Mapa final'!$L$12="Mayor"),CONCATENATE("R",'Mapa final'!$A$12),"")</f>
        <v/>
      </c>
      <c r="AG6" s="285"/>
      <c r="AH6" s="274" t="str">
        <f>IF(AND('Mapa final'!$H$10="Muy Alta",'Mapa final'!$L$10="Catastrófico"),CONCATENATE("R",'Mapa final'!$A$10),"")</f>
        <v/>
      </c>
      <c r="AI6" s="275"/>
      <c r="AJ6" s="275" t="str">
        <f>IF(AND('Mapa final'!$H$11="Muy Alta",'Mapa final'!$L$11="Catastrófico"),CONCATENATE("R",'Mapa final'!$A$11),"")</f>
        <v/>
      </c>
      <c r="AK6" s="275"/>
      <c r="AL6" s="275" t="str">
        <f>IF(AND('Mapa final'!$H$12="Muy Alta",'Mapa final'!$L$12="Catastrófico"),CONCATENATE("R",'Mapa final'!$A$12),"")</f>
        <v/>
      </c>
      <c r="AM6" s="276"/>
      <c r="AO6" s="299" t="s">
        <v>79</v>
      </c>
      <c r="AP6" s="300"/>
      <c r="AQ6" s="300"/>
      <c r="AR6" s="300"/>
      <c r="AS6" s="300"/>
      <c r="AT6" s="30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97"/>
      <c r="C7" s="297"/>
      <c r="D7" s="298"/>
      <c r="E7" s="290"/>
      <c r="F7" s="291"/>
      <c r="G7" s="291"/>
      <c r="H7" s="291"/>
      <c r="I7" s="292"/>
      <c r="J7" s="277"/>
      <c r="K7" s="278"/>
      <c r="L7" s="278"/>
      <c r="M7" s="278"/>
      <c r="N7" s="278"/>
      <c r="O7" s="279"/>
      <c r="P7" s="277"/>
      <c r="Q7" s="278"/>
      <c r="R7" s="278"/>
      <c r="S7" s="278"/>
      <c r="T7" s="278"/>
      <c r="U7" s="279"/>
      <c r="V7" s="277"/>
      <c r="W7" s="278"/>
      <c r="X7" s="278"/>
      <c r="Y7" s="278"/>
      <c r="Z7" s="278"/>
      <c r="AA7" s="279"/>
      <c r="AB7" s="277"/>
      <c r="AC7" s="278"/>
      <c r="AD7" s="278"/>
      <c r="AE7" s="278"/>
      <c r="AF7" s="278"/>
      <c r="AG7" s="279"/>
      <c r="AH7" s="268"/>
      <c r="AI7" s="269"/>
      <c r="AJ7" s="269"/>
      <c r="AK7" s="269"/>
      <c r="AL7" s="269"/>
      <c r="AM7" s="270"/>
      <c r="AN7" s="83"/>
      <c r="AO7" s="302"/>
      <c r="AP7" s="303"/>
      <c r="AQ7" s="303"/>
      <c r="AR7" s="303"/>
      <c r="AS7" s="303"/>
      <c r="AT7" s="30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97"/>
      <c r="C8" s="297"/>
      <c r="D8" s="298"/>
      <c r="E8" s="290"/>
      <c r="F8" s="291"/>
      <c r="G8" s="291"/>
      <c r="H8" s="291"/>
      <c r="I8" s="292"/>
      <c r="J8" s="277" t="str">
        <f>IF(AND('Mapa final'!$H$13="Muy Alta",'Mapa final'!$L$13="Leve"),CONCATENATE("R",'Mapa final'!$A$13),"")</f>
        <v/>
      </c>
      <c r="K8" s="278"/>
      <c r="L8" s="278" t="str">
        <f>IF(AND('Mapa final'!$H$19="Muy Alta",'Mapa final'!$L$19="Leve"),CONCATENATE("R",'Mapa final'!$A$19),"")</f>
        <v/>
      </c>
      <c r="M8" s="278"/>
      <c r="N8" s="278" t="str">
        <f>IF(AND('Mapa final'!$H$25="Muy Alta",'Mapa final'!$L$25="Leve"),CONCATENATE("R",'Mapa final'!$A$25),"")</f>
        <v/>
      </c>
      <c r="O8" s="279"/>
      <c r="P8" s="277" t="str">
        <f>IF(AND('Mapa final'!$H$13="Muy Alta",'Mapa final'!$L$13="Menor"),CONCATENATE("R",'Mapa final'!$A$13),"")</f>
        <v/>
      </c>
      <c r="Q8" s="278"/>
      <c r="R8" s="278" t="str">
        <f>IF(AND('Mapa final'!$H$19="Muy Alta",'Mapa final'!$L$19="Menor"),CONCATENATE("R",'Mapa final'!$A$19),"")</f>
        <v/>
      </c>
      <c r="S8" s="278"/>
      <c r="T8" s="278" t="str">
        <f>IF(AND('Mapa final'!$H$25="Muy Alta",'Mapa final'!$L$25="Menor"),CONCATENATE("R",'Mapa final'!$A$25),"")</f>
        <v/>
      </c>
      <c r="U8" s="279"/>
      <c r="V8" s="277" t="str">
        <f>IF(AND('Mapa final'!$H$13="Muy Alta",'Mapa final'!$L$13="Moderado"),CONCATENATE("R",'Mapa final'!$A$13),"")</f>
        <v/>
      </c>
      <c r="W8" s="278"/>
      <c r="X8" s="278" t="str">
        <f>IF(AND('Mapa final'!$H$19="Muy Alta",'Mapa final'!$L$19="Moderado"),CONCATENATE("R",'Mapa final'!$A$19),"")</f>
        <v/>
      </c>
      <c r="Y8" s="278"/>
      <c r="Z8" s="278" t="str">
        <f>IF(AND('Mapa final'!$H$25="Muy Alta",'Mapa final'!$L$25="Moderado"),CONCATENATE("R",'Mapa final'!$A$25),"")</f>
        <v/>
      </c>
      <c r="AA8" s="279"/>
      <c r="AB8" s="277" t="str">
        <f>IF(AND('Mapa final'!$H$13="Muy Alta",'Mapa final'!$L$13="Mayor"),CONCATENATE("R",'Mapa final'!$A$13),"")</f>
        <v/>
      </c>
      <c r="AC8" s="278"/>
      <c r="AD8" s="278" t="str">
        <f>IF(AND('Mapa final'!$H$19="Muy Alta",'Mapa final'!$L$19="Mayor"),CONCATENATE("R",'Mapa final'!$A$19),"")</f>
        <v/>
      </c>
      <c r="AE8" s="278"/>
      <c r="AF8" s="278" t="str">
        <f>IF(AND('Mapa final'!$H$25="Muy Alta",'Mapa final'!$L$25="Mayor"),CONCATENATE("R",'Mapa final'!$A$25),"")</f>
        <v/>
      </c>
      <c r="AG8" s="279"/>
      <c r="AH8" s="268" t="str">
        <f>IF(AND('Mapa final'!$H$13="Muy Alta",'Mapa final'!$L$13="Catastrófico"),CONCATENATE("R",'Mapa final'!$A$13),"")</f>
        <v/>
      </c>
      <c r="AI8" s="269"/>
      <c r="AJ8" s="269" t="str">
        <f>IF(AND('Mapa final'!$H$19="Muy Alta",'Mapa final'!$L$19="Catastrófico"),CONCATENATE("R",'Mapa final'!$A$19),"")</f>
        <v/>
      </c>
      <c r="AK8" s="269"/>
      <c r="AL8" s="269" t="str">
        <f>IF(AND('Mapa final'!$H$25="Muy Alta",'Mapa final'!$L$25="Catastrófico"),CONCATENATE("R",'Mapa final'!$A$25),"")</f>
        <v/>
      </c>
      <c r="AM8" s="270"/>
      <c r="AN8" s="83"/>
      <c r="AO8" s="302"/>
      <c r="AP8" s="303"/>
      <c r="AQ8" s="303"/>
      <c r="AR8" s="303"/>
      <c r="AS8" s="303"/>
      <c r="AT8" s="30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97"/>
      <c r="C9" s="297"/>
      <c r="D9" s="298"/>
      <c r="E9" s="290"/>
      <c r="F9" s="291"/>
      <c r="G9" s="291"/>
      <c r="H9" s="291"/>
      <c r="I9" s="292"/>
      <c r="J9" s="277"/>
      <c r="K9" s="278"/>
      <c r="L9" s="278"/>
      <c r="M9" s="278"/>
      <c r="N9" s="278"/>
      <c r="O9" s="279"/>
      <c r="P9" s="277"/>
      <c r="Q9" s="278"/>
      <c r="R9" s="278"/>
      <c r="S9" s="278"/>
      <c r="T9" s="278"/>
      <c r="U9" s="279"/>
      <c r="V9" s="277"/>
      <c r="W9" s="278"/>
      <c r="X9" s="278"/>
      <c r="Y9" s="278"/>
      <c r="Z9" s="278"/>
      <c r="AA9" s="279"/>
      <c r="AB9" s="277"/>
      <c r="AC9" s="278"/>
      <c r="AD9" s="278"/>
      <c r="AE9" s="278"/>
      <c r="AF9" s="278"/>
      <c r="AG9" s="279"/>
      <c r="AH9" s="268"/>
      <c r="AI9" s="269"/>
      <c r="AJ9" s="269"/>
      <c r="AK9" s="269"/>
      <c r="AL9" s="269"/>
      <c r="AM9" s="270"/>
      <c r="AN9" s="83"/>
      <c r="AO9" s="302"/>
      <c r="AP9" s="303"/>
      <c r="AQ9" s="303"/>
      <c r="AR9" s="303"/>
      <c r="AS9" s="303"/>
      <c r="AT9" s="30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97"/>
      <c r="C10" s="297"/>
      <c r="D10" s="298"/>
      <c r="E10" s="290"/>
      <c r="F10" s="291"/>
      <c r="G10" s="291"/>
      <c r="H10" s="291"/>
      <c r="I10" s="292"/>
      <c r="J10" s="277" t="str">
        <f>IF(AND('Mapa final'!$H$31="Muy Alta",'Mapa final'!$L$31="Leve"),CONCATENATE("R",'Mapa final'!$A$31),"")</f>
        <v/>
      </c>
      <c r="K10" s="278"/>
      <c r="L10" s="278" t="str">
        <f>IF(AND('Mapa final'!$H$37="Muy Alta",'Mapa final'!$L$37="Leve"),CONCATENATE("R",'Mapa final'!$A$37),"")</f>
        <v/>
      </c>
      <c r="M10" s="278"/>
      <c r="N10" s="278" t="str">
        <f>IF(AND('Mapa final'!$H$43="Muy Alta",'Mapa final'!$L$43="Leve"),CONCATENATE("R",'Mapa final'!$A$43),"")</f>
        <v/>
      </c>
      <c r="O10" s="279"/>
      <c r="P10" s="277" t="str">
        <f>IF(AND('Mapa final'!$H$31="Muy Alta",'Mapa final'!$L$31="Menor"),CONCATENATE("R",'Mapa final'!$A$31),"")</f>
        <v/>
      </c>
      <c r="Q10" s="278"/>
      <c r="R10" s="278" t="str">
        <f>IF(AND('Mapa final'!$H$37="Muy Alta",'Mapa final'!$L$37="Menor"),CONCATENATE("R",'Mapa final'!$A$37),"")</f>
        <v/>
      </c>
      <c r="S10" s="278"/>
      <c r="T10" s="278" t="str">
        <f>IF(AND('Mapa final'!$H$43="Muy Alta",'Mapa final'!$L$43="Menor"),CONCATENATE("R",'Mapa final'!$A$43),"")</f>
        <v/>
      </c>
      <c r="U10" s="279"/>
      <c r="V10" s="277" t="str">
        <f>IF(AND('Mapa final'!$H$31="Muy Alta",'Mapa final'!$L$31="Moderado"),CONCATENATE("R",'Mapa final'!$A$31),"")</f>
        <v/>
      </c>
      <c r="W10" s="278"/>
      <c r="X10" s="278" t="str">
        <f>IF(AND('Mapa final'!$H$37="Muy Alta",'Mapa final'!$L$37="Moderado"),CONCATENATE("R",'Mapa final'!$A$37),"")</f>
        <v/>
      </c>
      <c r="Y10" s="278"/>
      <c r="Z10" s="278" t="str">
        <f>IF(AND('Mapa final'!$H$43="Muy Alta",'Mapa final'!$L$43="Moderado"),CONCATENATE("R",'Mapa final'!$A$43),"")</f>
        <v/>
      </c>
      <c r="AA10" s="279"/>
      <c r="AB10" s="277" t="str">
        <f>IF(AND('Mapa final'!$H$31="Muy Alta",'Mapa final'!$L$31="Mayor"),CONCATENATE("R",'Mapa final'!$A$31),"")</f>
        <v/>
      </c>
      <c r="AC10" s="278"/>
      <c r="AD10" s="278" t="str">
        <f>IF(AND('Mapa final'!$H$37="Muy Alta",'Mapa final'!$L$37="Mayor"),CONCATENATE("R",'Mapa final'!$A$37),"")</f>
        <v/>
      </c>
      <c r="AE10" s="278"/>
      <c r="AF10" s="278" t="str">
        <f>IF(AND('Mapa final'!$H$43="Muy Alta",'Mapa final'!$L$43="Mayor"),CONCATENATE("R",'Mapa final'!$A$43),"")</f>
        <v/>
      </c>
      <c r="AG10" s="279"/>
      <c r="AH10" s="268" t="str">
        <f>IF(AND('Mapa final'!$H$31="Muy Alta",'Mapa final'!$L$31="Catastrófico"),CONCATENATE("R",'Mapa final'!$A$31),"")</f>
        <v/>
      </c>
      <c r="AI10" s="269"/>
      <c r="AJ10" s="269" t="str">
        <f>IF(AND('Mapa final'!$H$37="Muy Alta",'Mapa final'!$L$37="Catastrófico"),CONCATENATE("R",'Mapa final'!$A$37),"")</f>
        <v/>
      </c>
      <c r="AK10" s="269"/>
      <c r="AL10" s="269" t="str">
        <f>IF(AND('Mapa final'!$H$43="Muy Alta",'Mapa final'!$L$43="Catastrófico"),CONCATENATE("R",'Mapa final'!$A$43),"")</f>
        <v/>
      </c>
      <c r="AM10" s="270"/>
      <c r="AN10" s="83"/>
      <c r="AO10" s="302"/>
      <c r="AP10" s="303"/>
      <c r="AQ10" s="303"/>
      <c r="AR10" s="303"/>
      <c r="AS10" s="303"/>
      <c r="AT10" s="30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97"/>
      <c r="C11" s="297"/>
      <c r="D11" s="298"/>
      <c r="E11" s="290"/>
      <c r="F11" s="291"/>
      <c r="G11" s="291"/>
      <c r="H11" s="291"/>
      <c r="I11" s="292"/>
      <c r="J11" s="277"/>
      <c r="K11" s="278"/>
      <c r="L11" s="278"/>
      <c r="M11" s="278"/>
      <c r="N11" s="278"/>
      <c r="O11" s="279"/>
      <c r="P11" s="277"/>
      <c r="Q11" s="278"/>
      <c r="R11" s="278"/>
      <c r="S11" s="278"/>
      <c r="T11" s="278"/>
      <c r="U11" s="279"/>
      <c r="V11" s="277"/>
      <c r="W11" s="278"/>
      <c r="X11" s="278"/>
      <c r="Y11" s="278"/>
      <c r="Z11" s="278"/>
      <c r="AA11" s="279"/>
      <c r="AB11" s="277"/>
      <c r="AC11" s="278"/>
      <c r="AD11" s="278"/>
      <c r="AE11" s="278"/>
      <c r="AF11" s="278"/>
      <c r="AG11" s="279"/>
      <c r="AH11" s="268"/>
      <c r="AI11" s="269"/>
      <c r="AJ11" s="269"/>
      <c r="AK11" s="269"/>
      <c r="AL11" s="269"/>
      <c r="AM11" s="270"/>
      <c r="AN11" s="83"/>
      <c r="AO11" s="302"/>
      <c r="AP11" s="303"/>
      <c r="AQ11" s="303"/>
      <c r="AR11" s="303"/>
      <c r="AS11" s="303"/>
      <c r="AT11" s="30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97"/>
      <c r="C12" s="297"/>
      <c r="D12" s="298"/>
      <c r="E12" s="290"/>
      <c r="F12" s="291"/>
      <c r="G12" s="291"/>
      <c r="H12" s="291"/>
      <c r="I12" s="292"/>
      <c r="J12" s="277" t="str">
        <f>IF(AND('Mapa final'!$H$49="Muy Alta",'Mapa final'!$L$49="Leve"),CONCATENATE("R",'Mapa final'!$A$49),"")</f>
        <v/>
      </c>
      <c r="K12" s="278"/>
      <c r="L12" s="278" t="str">
        <f>IF(AND('Mapa final'!$H$55="Muy Alta",'Mapa final'!$L$55="Leve"),CONCATENATE("R",'Mapa final'!$A$55),"")</f>
        <v/>
      </c>
      <c r="M12" s="278"/>
      <c r="N12" s="278" t="str">
        <f>IF(AND('Mapa final'!$H$61="Muy Alta",'Mapa final'!$L$61="Leve"),CONCATENATE("R",'Mapa final'!$A$61),"")</f>
        <v/>
      </c>
      <c r="O12" s="279"/>
      <c r="P12" s="277" t="str">
        <f>IF(AND('Mapa final'!$H$49="Muy Alta",'Mapa final'!$L$49="Menor"),CONCATENATE("R",'Mapa final'!$A$49),"")</f>
        <v/>
      </c>
      <c r="Q12" s="278"/>
      <c r="R12" s="278" t="str">
        <f>IF(AND('Mapa final'!$H$55="Muy Alta",'Mapa final'!$L$55="Menor"),CONCATENATE("R",'Mapa final'!$A$55),"")</f>
        <v/>
      </c>
      <c r="S12" s="278"/>
      <c r="T12" s="278" t="str">
        <f>IF(AND('Mapa final'!$H$61="Muy Alta",'Mapa final'!$L$61="Menor"),CONCATENATE("R",'Mapa final'!$A$61),"")</f>
        <v/>
      </c>
      <c r="U12" s="279"/>
      <c r="V12" s="277" t="str">
        <f>IF(AND('Mapa final'!$H$49="Muy Alta",'Mapa final'!$L$49="Moderado"),CONCATENATE("R",'Mapa final'!$A$49),"")</f>
        <v/>
      </c>
      <c r="W12" s="278"/>
      <c r="X12" s="278" t="str">
        <f>IF(AND('Mapa final'!$H$55="Muy Alta",'Mapa final'!$L$55="Moderado"),CONCATENATE("R",'Mapa final'!$A$55),"")</f>
        <v/>
      </c>
      <c r="Y12" s="278"/>
      <c r="Z12" s="278" t="str">
        <f>IF(AND('Mapa final'!$H$61="Muy Alta",'Mapa final'!$L$61="Moderado"),CONCATENATE("R",'Mapa final'!$A$61),"")</f>
        <v/>
      </c>
      <c r="AA12" s="279"/>
      <c r="AB12" s="277" t="str">
        <f>IF(AND('Mapa final'!$H$49="Muy Alta",'Mapa final'!$L$49="Mayor"),CONCATENATE("R",'Mapa final'!$A$49),"")</f>
        <v/>
      </c>
      <c r="AC12" s="278"/>
      <c r="AD12" s="278" t="str">
        <f>IF(AND('Mapa final'!$H$55="Muy Alta",'Mapa final'!$L$55="Mayor"),CONCATENATE("R",'Mapa final'!$A$55),"")</f>
        <v/>
      </c>
      <c r="AE12" s="278"/>
      <c r="AF12" s="278" t="str">
        <f>IF(AND('Mapa final'!$H$61="Muy Alta",'Mapa final'!$L$61="Mayor"),CONCATENATE("R",'Mapa final'!$A$61),"")</f>
        <v/>
      </c>
      <c r="AG12" s="279"/>
      <c r="AH12" s="268" t="str">
        <f>IF(AND('Mapa final'!$H$49="Muy Alta",'Mapa final'!$L$49="Catastrófico"),CONCATENATE("R",'Mapa final'!$A$49),"")</f>
        <v/>
      </c>
      <c r="AI12" s="269"/>
      <c r="AJ12" s="269" t="str">
        <f>IF(AND('Mapa final'!$H$55="Muy Alta",'Mapa final'!$L$55="Catastrófico"),CONCATENATE("R",'Mapa final'!$A$55),"")</f>
        <v/>
      </c>
      <c r="AK12" s="269"/>
      <c r="AL12" s="269" t="str">
        <f>IF(AND('Mapa final'!$H$61="Muy Alta",'Mapa final'!$L$61="Catastrófico"),CONCATENATE("R",'Mapa final'!$A$61),"")</f>
        <v/>
      </c>
      <c r="AM12" s="270"/>
      <c r="AN12" s="83"/>
      <c r="AO12" s="302"/>
      <c r="AP12" s="303"/>
      <c r="AQ12" s="303"/>
      <c r="AR12" s="303"/>
      <c r="AS12" s="303"/>
      <c r="AT12" s="30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97"/>
      <c r="C13" s="297"/>
      <c r="D13" s="298"/>
      <c r="E13" s="293"/>
      <c r="F13" s="294"/>
      <c r="G13" s="294"/>
      <c r="H13" s="294"/>
      <c r="I13" s="295"/>
      <c r="J13" s="277"/>
      <c r="K13" s="278"/>
      <c r="L13" s="278"/>
      <c r="M13" s="278"/>
      <c r="N13" s="278"/>
      <c r="O13" s="279"/>
      <c r="P13" s="277"/>
      <c r="Q13" s="278"/>
      <c r="R13" s="278"/>
      <c r="S13" s="278"/>
      <c r="T13" s="278"/>
      <c r="U13" s="279"/>
      <c r="V13" s="277"/>
      <c r="W13" s="278"/>
      <c r="X13" s="278"/>
      <c r="Y13" s="278"/>
      <c r="Z13" s="278"/>
      <c r="AA13" s="279"/>
      <c r="AB13" s="277"/>
      <c r="AC13" s="278"/>
      <c r="AD13" s="278"/>
      <c r="AE13" s="278"/>
      <c r="AF13" s="278"/>
      <c r="AG13" s="279"/>
      <c r="AH13" s="271"/>
      <c r="AI13" s="272"/>
      <c r="AJ13" s="272"/>
      <c r="AK13" s="272"/>
      <c r="AL13" s="272"/>
      <c r="AM13" s="273"/>
      <c r="AN13" s="83"/>
      <c r="AO13" s="305"/>
      <c r="AP13" s="306"/>
      <c r="AQ13" s="306"/>
      <c r="AR13" s="306"/>
      <c r="AS13" s="306"/>
      <c r="AT13" s="30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97"/>
      <c r="C14" s="297"/>
      <c r="D14" s="298"/>
      <c r="E14" s="287" t="s">
        <v>115</v>
      </c>
      <c r="F14" s="288"/>
      <c r="G14" s="288"/>
      <c r="H14" s="288"/>
      <c r="I14" s="288"/>
      <c r="J14" s="265" t="str">
        <f>IF(AND('Mapa final'!$H$10="Alta",'Mapa final'!$L$10="Leve"),CONCATENATE("R",'Mapa final'!$A$10),"")</f>
        <v/>
      </c>
      <c r="K14" s="266"/>
      <c r="L14" s="266" t="str">
        <f>IF(AND('Mapa final'!$H$11="Alta",'Mapa final'!$L$11="Leve"),CONCATENATE("R",'Mapa final'!$A$11),"")</f>
        <v/>
      </c>
      <c r="M14" s="266"/>
      <c r="N14" s="266" t="str">
        <f>IF(AND('Mapa final'!$H$12="Alta",'Mapa final'!$L$12="Leve"),CONCATENATE("R",'Mapa final'!$A$12),"")</f>
        <v/>
      </c>
      <c r="O14" s="267"/>
      <c r="P14" s="265" t="str">
        <f>IF(AND('Mapa final'!$H$10="Alta",'Mapa final'!$L$10="Menor"),CONCATENATE("R",'Mapa final'!$A$10),"")</f>
        <v/>
      </c>
      <c r="Q14" s="266"/>
      <c r="R14" s="266" t="str">
        <f>IF(AND('Mapa final'!$H$11="Alta",'Mapa final'!$L$11="Menor"),CONCATENATE("R",'Mapa final'!$A$11),"")</f>
        <v/>
      </c>
      <c r="S14" s="266"/>
      <c r="T14" s="266" t="str">
        <f>IF(AND('Mapa final'!$H$12="Alta",'Mapa final'!$L$12="Menor"),CONCATENATE("R",'Mapa final'!$A$12),"")</f>
        <v/>
      </c>
      <c r="U14" s="267"/>
      <c r="V14" s="283" t="str">
        <f>IF(AND('Mapa final'!$H$10="Alta",'Mapa final'!$L$10="Moderado"),CONCATENATE("R",'Mapa final'!$A$10),"")</f>
        <v>R1</v>
      </c>
      <c r="W14" s="284"/>
      <c r="X14" s="284" t="str">
        <f>IF(AND('Mapa final'!$H$11="Alta",'Mapa final'!$L$11="Moderado"),CONCATENATE("R",'Mapa final'!$A$11),"")</f>
        <v/>
      </c>
      <c r="Y14" s="284"/>
      <c r="Z14" s="284" t="str">
        <f>IF(AND('Mapa final'!$H$12="Alta",'Mapa final'!$L$12="Moderado"),CONCATENATE("R",'Mapa final'!$A$12),"")</f>
        <v/>
      </c>
      <c r="AA14" s="285"/>
      <c r="AB14" s="283" t="str">
        <f>IF(AND('Mapa final'!$H$10="Alta",'Mapa final'!$L$10="Mayor"),CONCATENATE("R",'Mapa final'!$A$10),"")</f>
        <v/>
      </c>
      <c r="AC14" s="284"/>
      <c r="AD14" s="284" t="str">
        <f>IF(AND('Mapa final'!$H$11="Alta",'Mapa final'!$L$11="Mayor"),CONCATENATE("R",'Mapa final'!$A$11),"")</f>
        <v>R2</v>
      </c>
      <c r="AE14" s="284"/>
      <c r="AF14" s="284" t="str">
        <f>IF(AND('Mapa final'!$H$12="Alta",'Mapa final'!$L$12="Mayor"),CONCATENATE("R",'Mapa final'!$A$12),"")</f>
        <v/>
      </c>
      <c r="AG14" s="285"/>
      <c r="AH14" s="274" t="str">
        <f>IF(AND('Mapa final'!$H$10="Alta",'Mapa final'!$L$10="Catastrófico"),CONCATENATE("R",'Mapa final'!$A$10),"")</f>
        <v/>
      </c>
      <c r="AI14" s="275"/>
      <c r="AJ14" s="275" t="str">
        <f>IF(AND('Mapa final'!$H$11="Alta",'Mapa final'!$L$11="Catastrófico"),CONCATENATE("R",'Mapa final'!$A$11),"")</f>
        <v/>
      </c>
      <c r="AK14" s="275"/>
      <c r="AL14" s="275" t="str">
        <f>IF(AND('Mapa final'!$H$12="Alta",'Mapa final'!$L$12="Catastrófico"),CONCATENATE("R",'Mapa final'!$A$12),"")</f>
        <v/>
      </c>
      <c r="AM14" s="276"/>
      <c r="AN14" s="83"/>
      <c r="AO14" s="308" t="s">
        <v>80</v>
      </c>
      <c r="AP14" s="309"/>
      <c r="AQ14" s="309"/>
      <c r="AR14" s="309"/>
      <c r="AS14" s="309"/>
      <c r="AT14" s="31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97"/>
      <c r="C15" s="297"/>
      <c r="D15" s="298"/>
      <c r="E15" s="290"/>
      <c r="F15" s="291"/>
      <c r="G15" s="291"/>
      <c r="H15" s="291"/>
      <c r="I15" s="291"/>
      <c r="J15" s="259"/>
      <c r="K15" s="260"/>
      <c r="L15" s="260"/>
      <c r="M15" s="260"/>
      <c r="N15" s="260"/>
      <c r="O15" s="261"/>
      <c r="P15" s="259"/>
      <c r="Q15" s="260"/>
      <c r="R15" s="260"/>
      <c r="S15" s="260"/>
      <c r="T15" s="260"/>
      <c r="U15" s="261"/>
      <c r="V15" s="277"/>
      <c r="W15" s="278"/>
      <c r="X15" s="278"/>
      <c r="Y15" s="278"/>
      <c r="Z15" s="278"/>
      <c r="AA15" s="279"/>
      <c r="AB15" s="277"/>
      <c r="AC15" s="278"/>
      <c r="AD15" s="278"/>
      <c r="AE15" s="278"/>
      <c r="AF15" s="278"/>
      <c r="AG15" s="279"/>
      <c r="AH15" s="268"/>
      <c r="AI15" s="269"/>
      <c r="AJ15" s="269"/>
      <c r="AK15" s="269"/>
      <c r="AL15" s="269"/>
      <c r="AM15" s="270"/>
      <c r="AN15" s="83"/>
      <c r="AO15" s="311"/>
      <c r="AP15" s="312"/>
      <c r="AQ15" s="312"/>
      <c r="AR15" s="312"/>
      <c r="AS15" s="312"/>
      <c r="AT15" s="31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97"/>
      <c r="C16" s="297"/>
      <c r="D16" s="298"/>
      <c r="E16" s="290"/>
      <c r="F16" s="291"/>
      <c r="G16" s="291"/>
      <c r="H16" s="291"/>
      <c r="I16" s="291"/>
      <c r="J16" s="259" t="str">
        <f>IF(AND('Mapa final'!$H$13="Alta",'Mapa final'!$L$13="Leve"),CONCATENATE("R",'Mapa final'!$A$13),"")</f>
        <v/>
      </c>
      <c r="K16" s="260"/>
      <c r="L16" s="260" t="str">
        <f>IF(AND('Mapa final'!$H$19="Alta",'Mapa final'!$L$19="Leve"),CONCATENATE("R",'Mapa final'!$A$19),"")</f>
        <v/>
      </c>
      <c r="M16" s="260"/>
      <c r="N16" s="260" t="str">
        <f>IF(AND('Mapa final'!$H$25="Alta",'Mapa final'!$L$25="Leve"),CONCATENATE("R",'Mapa final'!$A$25),"")</f>
        <v/>
      </c>
      <c r="O16" s="261"/>
      <c r="P16" s="259" t="str">
        <f>IF(AND('Mapa final'!$H$13="Alta",'Mapa final'!$L$13="Menor"),CONCATENATE("R",'Mapa final'!$A$13),"")</f>
        <v/>
      </c>
      <c r="Q16" s="260"/>
      <c r="R16" s="260" t="str">
        <f>IF(AND('Mapa final'!$H$19="Alta",'Mapa final'!$L$19="Menor"),CONCATENATE("R",'Mapa final'!$A$19),"")</f>
        <v/>
      </c>
      <c r="S16" s="260"/>
      <c r="T16" s="260" t="str">
        <f>IF(AND('Mapa final'!$H$25="Alta",'Mapa final'!$L$25="Menor"),CONCATENATE("R",'Mapa final'!$A$25),"")</f>
        <v/>
      </c>
      <c r="U16" s="261"/>
      <c r="V16" s="277" t="str">
        <f>IF(AND('Mapa final'!$H$13="Alta",'Mapa final'!$L$13="Moderado"),CONCATENATE("R",'Mapa final'!$A$13),"")</f>
        <v/>
      </c>
      <c r="W16" s="278"/>
      <c r="X16" s="278" t="str">
        <f>IF(AND('Mapa final'!$H$19="Alta",'Mapa final'!$L$19="Moderado"),CONCATENATE("R",'Mapa final'!$A$19),"")</f>
        <v/>
      </c>
      <c r="Y16" s="278"/>
      <c r="Z16" s="278" t="str">
        <f>IF(AND('Mapa final'!$H$25="Alta",'Mapa final'!$L$25="Moderado"),CONCATENATE("R",'Mapa final'!$A$25),"")</f>
        <v/>
      </c>
      <c r="AA16" s="279"/>
      <c r="AB16" s="277" t="str">
        <f>IF(AND('Mapa final'!$H$13="Alta",'Mapa final'!$L$13="Mayor"),CONCATENATE("R",'Mapa final'!$A$13),"")</f>
        <v/>
      </c>
      <c r="AC16" s="278"/>
      <c r="AD16" s="278" t="str">
        <f>IF(AND('Mapa final'!$H$19="Alta",'Mapa final'!$L$19="Mayor"),CONCATENATE("R",'Mapa final'!$A$19),"")</f>
        <v/>
      </c>
      <c r="AE16" s="278"/>
      <c r="AF16" s="278" t="str">
        <f>IF(AND('Mapa final'!$H$25="Alta",'Mapa final'!$L$25="Mayor"),CONCATENATE("R",'Mapa final'!$A$25),"")</f>
        <v/>
      </c>
      <c r="AG16" s="279"/>
      <c r="AH16" s="268" t="str">
        <f>IF(AND('Mapa final'!$H$13="Alta",'Mapa final'!$L$13="Catastrófico"),CONCATENATE("R",'Mapa final'!$A$13),"")</f>
        <v/>
      </c>
      <c r="AI16" s="269"/>
      <c r="AJ16" s="269" t="str">
        <f>IF(AND('Mapa final'!$H$19="Alta",'Mapa final'!$L$19="Catastrófico"),CONCATENATE("R",'Mapa final'!$A$19),"")</f>
        <v/>
      </c>
      <c r="AK16" s="269"/>
      <c r="AL16" s="269" t="str">
        <f>IF(AND('Mapa final'!$H$25="Alta",'Mapa final'!$L$25="Catastrófico"),CONCATENATE("R",'Mapa final'!$A$25),"")</f>
        <v/>
      </c>
      <c r="AM16" s="270"/>
      <c r="AN16" s="83"/>
      <c r="AO16" s="311"/>
      <c r="AP16" s="312"/>
      <c r="AQ16" s="312"/>
      <c r="AR16" s="312"/>
      <c r="AS16" s="312"/>
      <c r="AT16" s="31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97"/>
      <c r="C17" s="297"/>
      <c r="D17" s="298"/>
      <c r="E17" s="290"/>
      <c r="F17" s="291"/>
      <c r="G17" s="291"/>
      <c r="H17" s="291"/>
      <c r="I17" s="291"/>
      <c r="J17" s="259"/>
      <c r="K17" s="260"/>
      <c r="L17" s="260"/>
      <c r="M17" s="260"/>
      <c r="N17" s="260"/>
      <c r="O17" s="261"/>
      <c r="P17" s="259"/>
      <c r="Q17" s="260"/>
      <c r="R17" s="260"/>
      <c r="S17" s="260"/>
      <c r="T17" s="260"/>
      <c r="U17" s="261"/>
      <c r="V17" s="277"/>
      <c r="W17" s="278"/>
      <c r="X17" s="278"/>
      <c r="Y17" s="278"/>
      <c r="Z17" s="278"/>
      <c r="AA17" s="279"/>
      <c r="AB17" s="277"/>
      <c r="AC17" s="278"/>
      <c r="AD17" s="278"/>
      <c r="AE17" s="278"/>
      <c r="AF17" s="278"/>
      <c r="AG17" s="279"/>
      <c r="AH17" s="268"/>
      <c r="AI17" s="269"/>
      <c r="AJ17" s="269"/>
      <c r="AK17" s="269"/>
      <c r="AL17" s="269"/>
      <c r="AM17" s="270"/>
      <c r="AN17" s="83"/>
      <c r="AO17" s="311"/>
      <c r="AP17" s="312"/>
      <c r="AQ17" s="312"/>
      <c r="AR17" s="312"/>
      <c r="AS17" s="312"/>
      <c r="AT17" s="31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97"/>
      <c r="C18" s="297"/>
      <c r="D18" s="298"/>
      <c r="E18" s="290"/>
      <c r="F18" s="291"/>
      <c r="G18" s="291"/>
      <c r="H18" s="291"/>
      <c r="I18" s="291"/>
      <c r="J18" s="259" t="str">
        <f>IF(AND('Mapa final'!$H$31="Alta",'Mapa final'!$L$31="Leve"),CONCATENATE("R",'Mapa final'!$A$31),"")</f>
        <v/>
      </c>
      <c r="K18" s="260"/>
      <c r="L18" s="260" t="str">
        <f>IF(AND('Mapa final'!$H$37="Alta",'Mapa final'!$L$37="Leve"),CONCATENATE("R",'Mapa final'!$A$37),"")</f>
        <v/>
      </c>
      <c r="M18" s="260"/>
      <c r="N18" s="260" t="str">
        <f>IF(AND('Mapa final'!$H$43="Alta",'Mapa final'!$L$43="Leve"),CONCATENATE("R",'Mapa final'!$A$43),"")</f>
        <v/>
      </c>
      <c r="O18" s="261"/>
      <c r="P18" s="259" t="str">
        <f>IF(AND('Mapa final'!$H$31="Alta",'Mapa final'!$L$31="Menor"),CONCATENATE("R",'Mapa final'!$A$31),"")</f>
        <v/>
      </c>
      <c r="Q18" s="260"/>
      <c r="R18" s="260" t="str">
        <f>IF(AND('Mapa final'!$H$37="Alta",'Mapa final'!$L$37="Menor"),CONCATENATE("R",'Mapa final'!$A$37),"")</f>
        <v/>
      </c>
      <c r="S18" s="260"/>
      <c r="T18" s="260" t="str">
        <f>IF(AND('Mapa final'!$H$43="Alta",'Mapa final'!$L$43="Menor"),CONCATENATE("R",'Mapa final'!$A$43),"")</f>
        <v/>
      </c>
      <c r="U18" s="261"/>
      <c r="V18" s="277" t="str">
        <f>IF(AND('Mapa final'!$H$31="Alta",'Mapa final'!$L$31="Moderado"),CONCATENATE("R",'Mapa final'!$A$31),"")</f>
        <v/>
      </c>
      <c r="W18" s="278"/>
      <c r="X18" s="278" t="str">
        <f>IF(AND('Mapa final'!$H$37="Alta",'Mapa final'!$L$37="Moderado"),CONCATENATE("R",'Mapa final'!$A$37),"")</f>
        <v/>
      </c>
      <c r="Y18" s="278"/>
      <c r="Z18" s="278" t="str">
        <f>IF(AND('Mapa final'!$H$43="Alta",'Mapa final'!$L$43="Moderado"),CONCATENATE("R",'Mapa final'!$A$43),"")</f>
        <v/>
      </c>
      <c r="AA18" s="279"/>
      <c r="AB18" s="277" t="str">
        <f>IF(AND('Mapa final'!$H$31="Alta",'Mapa final'!$L$31="Mayor"),CONCATENATE("R",'Mapa final'!$A$31),"")</f>
        <v/>
      </c>
      <c r="AC18" s="278"/>
      <c r="AD18" s="278" t="str">
        <f>IF(AND('Mapa final'!$H$37="Alta",'Mapa final'!$L$37="Mayor"),CONCATENATE("R",'Mapa final'!$A$37),"")</f>
        <v/>
      </c>
      <c r="AE18" s="278"/>
      <c r="AF18" s="278" t="str">
        <f>IF(AND('Mapa final'!$H$43="Alta",'Mapa final'!$L$43="Mayor"),CONCATENATE("R",'Mapa final'!$A$43),"")</f>
        <v/>
      </c>
      <c r="AG18" s="279"/>
      <c r="AH18" s="268" t="str">
        <f>IF(AND('Mapa final'!$H$31="Alta",'Mapa final'!$L$31="Catastrófico"),CONCATENATE("R",'Mapa final'!$A$31),"")</f>
        <v/>
      </c>
      <c r="AI18" s="269"/>
      <c r="AJ18" s="269" t="str">
        <f>IF(AND('Mapa final'!$H$37="Alta",'Mapa final'!$L$37="Catastrófico"),CONCATENATE("R",'Mapa final'!$A$37),"")</f>
        <v/>
      </c>
      <c r="AK18" s="269"/>
      <c r="AL18" s="269" t="str">
        <f>IF(AND('Mapa final'!$H$43="Alta",'Mapa final'!$L$43="Catastrófico"),CONCATENATE("R",'Mapa final'!$A$43),"")</f>
        <v/>
      </c>
      <c r="AM18" s="270"/>
      <c r="AN18" s="83"/>
      <c r="AO18" s="311"/>
      <c r="AP18" s="312"/>
      <c r="AQ18" s="312"/>
      <c r="AR18" s="312"/>
      <c r="AS18" s="312"/>
      <c r="AT18" s="31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97"/>
      <c r="C19" s="297"/>
      <c r="D19" s="298"/>
      <c r="E19" s="290"/>
      <c r="F19" s="291"/>
      <c r="G19" s="291"/>
      <c r="H19" s="291"/>
      <c r="I19" s="291"/>
      <c r="J19" s="259"/>
      <c r="K19" s="260"/>
      <c r="L19" s="260"/>
      <c r="M19" s="260"/>
      <c r="N19" s="260"/>
      <c r="O19" s="261"/>
      <c r="P19" s="259"/>
      <c r="Q19" s="260"/>
      <c r="R19" s="260"/>
      <c r="S19" s="260"/>
      <c r="T19" s="260"/>
      <c r="U19" s="261"/>
      <c r="V19" s="277"/>
      <c r="W19" s="278"/>
      <c r="X19" s="278"/>
      <c r="Y19" s="278"/>
      <c r="Z19" s="278"/>
      <c r="AA19" s="279"/>
      <c r="AB19" s="277"/>
      <c r="AC19" s="278"/>
      <c r="AD19" s="278"/>
      <c r="AE19" s="278"/>
      <c r="AF19" s="278"/>
      <c r="AG19" s="279"/>
      <c r="AH19" s="268"/>
      <c r="AI19" s="269"/>
      <c r="AJ19" s="269"/>
      <c r="AK19" s="269"/>
      <c r="AL19" s="269"/>
      <c r="AM19" s="270"/>
      <c r="AN19" s="83"/>
      <c r="AO19" s="311"/>
      <c r="AP19" s="312"/>
      <c r="AQ19" s="312"/>
      <c r="AR19" s="312"/>
      <c r="AS19" s="312"/>
      <c r="AT19" s="31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97"/>
      <c r="C20" s="297"/>
      <c r="D20" s="298"/>
      <c r="E20" s="290"/>
      <c r="F20" s="291"/>
      <c r="G20" s="291"/>
      <c r="H20" s="291"/>
      <c r="I20" s="291"/>
      <c r="J20" s="259" t="str">
        <f>IF(AND('Mapa final'!$H$49="Alta",'Mapa final'!$L$49="Leve"),CONCATENATE("R",'Mapa final'!$A$49),"")</f>
        <v/>
      </c>
      <c r="K20" s="260"/>
      <c r="L20" s="260" t="str">
        <f>IF(AND('Mapa final'!$H$55="Alta",'Mapa final'!$L$55="Leve"),CONCATENATE("R",'Mapa final'!$A$55),"")</f>
        <v/>
      </c>
      <c r="M20" s="260"/>
      <c r="N20" s="260" t="str">
        <f>IF(AND('Mapa final'!$H$61="Alta",'Mapa final'!$L$61="Leve"),CONCATENATE("R",'Mapa final'!$A$61),"")</f>
        <v/>
      </c>
      <c r="O20" s="261"/>
      <c r="P20" s="259" t="str">
        <f>IF(AND('Mapa final'!$H$49="Alta",'Mapa final'!$L$49="Menor"),CONCATENATE("R",'Mapa final'!$A$49),"")</f>
        <v/>
      </c>
      <c r="Q20" s="260"/>
      <c r="R20" s="260" t="str">
        <f>IF(AND('Mapa final'!$H$55="Alta",'Mapa final'!$L$55="Menor"),CONCATENATE("R",'Mapa final'!$A$55),"")</f>
        <v/>
      </c>
      <c r="S20" s="260"/>
      <c r="T20" s="260" t="str">
        <f>IF(AND('Mapa final'!$H$61="Alta",'Mapa final'!$L$61="Menor"),CONCATENATE("R",'Mapa final'!$A$61),"")</f>
        <v/>
      </c>
      <c r="U20" s="261"/>
      <c r="V20" s="277" t="str">
        <f>IF(AND('Mapa final'!$H$49="Alta",'Mapa final'!$L$49="Moderado"),CONCATENATE("R",'Mapa final'!$A$49),"")</f>
        <v/>
      </c>
      <c r="W20" s="278"/>
      <c r="X20" s="278" t="str">
        <f>IF(AND('Mapa final'!$H$55="Alta",'Mapa final'!$L$55="Moderado"),CONCATENATE("R",'Mapa final'!$A$55),"")</f>
        <v/>
      </c>
      <c r="Y20" s="278"/>
      <c r="Z20" s="278" t="str">
        <f>IF(AND('Mapa final'!$H$61="Alta",'Mapa final'!$L$61="Moderado"),CONCATENATE("R",'Mapa final'!$A$61),"")</f>
        <v/>
      </c>
      <c r="AA20" s="279"/>
      <c r="AB20" s="277" t="str">
        <f>IF(AND('Mapa final'!$H$49="Alta",'Mapa final'!$L$49="Mayor"),CONCATENATE("R",'Mapa final'!$A$49),"")</f>
        <v/>
      </c>
      <c r="AC20" s="278"/>
      <c r="AD20" s="278" t="str">
        <f>IF(AND('Mapa final'!$H$55="Alta",'Mapa final'!$L$55="Mayor"),CONCATENATE("R",'Mapa final'!$A$55),"")</f>
        <v/>
      </c>
      <c r="AE20" s="278"/>
      <c r="AF20" s="278" t="str">
        <f>IF(AND('Mapa final'!$H$61="Alta",'Mapa final'!$L$61="Mayor"),CONCATENATE("R",'Mapa final'!$A$61),"")</f>
        <v/>
      </c>
      <c r="AG20" s="279"/>
      <c r="AH20" s="268" t="str">
        <f>IF(AND('Mapa final'!$H$49="Alta",'Mapa final'!$L$49="Catastrófico"),CONCATENATE("R",'Mapa final'!$A$49),"")</f>
        <v/>
      </c>
      <c r="AI20" s="269"/>
      <c r="AJ20" s="269" t="str">
        <f>IF(AND('Mapa final'!$H$55="Alta",'Mapa final'!$L$55="Catastrófico"),CONCATENATE("R",'Mapa final'!$A$55),"")</f>
        <v/>
      </c>
      <c r="AK20" s="269"/>
      <c r="AL20" s="269" t="str">
        <f>IF(AND('Mapa final'!$H$61="Alta",'Mapa final'!$L$61="Catastrófico"),CONCATENATE("R",'Mapa final'!$A$61),"")</f>
        <v/>
      </c>
      <c r="AM20" s="270"/>
      <c r="AN20" s="83"/>
      <c r="AO20" s="311"/>
      <c r="AP20" s="312"/>
      <c r="AQ20" s="312"/>
      <c r="AR20" s="312"/>
      <c r="AS20" s="312"/>
      <c r="AT20" s="31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97"/>
      <c r="C21" s="297"/>
      <c r="D21" s="298"/>
      <c r="E21" s="293"/>
      <c r="F21" s="294"/>
      <c r="G21" s="294"/>
      <c r="H21" s="294"/>
      <c r="I21" s="294"/>
      <c r="J21" s="262"/>
      <c r="K21" s="263"/>
      <c r="L21" s="263"/>
      <c r="M21" s="263"/>
      <c r="N21" s="263"/>
      <c r="O21" s="264"/>
      <c r="P21" s="262"/>
      <c r="Q21" s="263"/>
      <c r="R21" s="263"/>
      <c r="S21" s="263"/>
      <c r="T21" s="263"/>
      <c r="U21" s="264"/>
      <c r="V21" s="280"/>
      <c r="W21" s="281"/>
      <c r="X21" s="281"/>
      <c r="Y21" s="281"/>
      <c r="Z21" s="281"/>
      <c r="AA21" s="282"/>
      <c r="AB21" s="280"/>
      <c r="AC21" s="281"/>
      <c r="AD21" s="281"/>
      <c r="AE21" s="281"/>
      <c r="AF21" s="281"/>
      <c r="AG21" s="282"/>
      <c r="AH21" s="271"/>
      <c r="AI21" s="272"/>
      <c r="AJ21" s="272"/>
      <c r="AK21" s="272"/>
      <c r="AL21" s="272"/>
      <c r="AM21" s="273"/>
      <c r="AN21" s="83"/>
      <c r="AO21" s="314"/>
      <c r="AP21" s="315"/>
      <c r="AQ21" s="315"/>
      <c r="AR21" s="315"/>
      <c r="AS21" s="315"/>
      <c r="AT21" s="31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97"/>
      <c r="C22" s="297"/>
      <c r="D22" s="298"/>
      <c r="E22" s="287" t="s">
        <v>117</v>
      </c>
      <c r="F22" s="288"/>
      <c r="G22" s="288"/>
      <c r="H22" s="288"/>
      <c r="I22" s="289"/>
      <c r="J22" s="265" t="str">
        <f>IF(AND('Mapa final'!$H$10="Media",'Mapa final'!$L$10="Leve"),CONCATENATE("R",'Mapa final'!$A$10),"")</f>
        <v/>
      </c>
      <c r="K22" s="266"/>
      <c r="L22" s="266" t="str">
        <f>IF(AND('Mapa final'!$H$11="Media",'Mapa final'!$L$11="Leve"),CONCATENATE("R",'Mapa final'!$A$11),"")</f>
        <v/>
      </c>
      <c r="M22" s="266"/>
      <c r="N22" s="266" t="str">
        <f>IF(AND('Mapa final'!$H$12="Media",'Mapa final'!$L$12="Leve"),CONCATENATE("R",'Mapa final'!$A$12),"")</f>
        <v/>
      </c>
      <c r="O22" s="267"/>
      <c r="P22" s="265" t="str">
        <f>IF(AND('Mapa final'!$H$10="Media",'Mapa final'!$L$10="Menor"),CONCATENATE("R",'Mapa final'!$A$10),"")</f>
        <v/>
      </c>
      <c r="Q22" s="266"/>
      <c r="R22" s="266" t="str">
        <f>IF(AND('Mapa final'!$H$11="Media",'Mapa final'!$L$11="Menor"),CONCATENATE("R",'Mapa final'!$A$11),"")</f>
        <v/>
      </c>
      <c r="S22" s="266"/>
      <c r="T22" s="266" t="str">
        <f>IF(AND('Mapa final'!$H$12="Media",'Mapa final'!$L$12="Menor"),CONCATENATE("R",'Mapa final'!$A$12),"")</f>
        <v/>
      </c>
      <c r="U22" s="267"/>
      <c r="V22" s="265" t="str">
        <f>IF(AND('Mapa final'!$H$10="Media",'Mapa final'!$L$10="Moderado"),CONCATENATE("R",'Mapa final'!$A$10),"")</f>
        <v/>
      </c>
      <c r="W22" s="266"/>
      <c r="X22" s="266" t="str">
        <f>IF(AND('Mapa final'!$H$11="Media",'Mapa final'!$L$11="Moderado"),CONCATENATE("R",'Mapa final'!$A$11),"")</f>
        <v/>
      </c>
      <c r="Y22" s="266"/>
      <c r="Z22" s="266" t="str">
        <f>IF(AND('Mapa final'!$H$12="Media",'Mapa final'!$L$12="Moderado"),CONCATENATE("R",'Mapa final'!$A$12),"")</f>
        <v>R3</v>
      </c>
      <c r="AA22" s="267"/>
      <c r="AB22" s="283" t="str">
        <f>IF(AND('Mapa final'!$H$10="Media",'Mapa final'!$L$10="Mayor"),CONCATENATE("R",'Mapa final'!$A$10),"")</f>
        <v/>
      </c>
      <c r="AC22" s="284"/>
      <c r="AD22" s="284" t="str">
        <f>IF(AND('Mapa final'!$H$11="Media",'Mapa final'!$L$11="Mayor"),CONCATENATE("R",'Mapa final'!$A$11),"")</f>
        <v/>
      </c>
      <c r="AE22" s="284"/>
      <c r="AF22" s="284" t="str">
        <f>IF(AND('Mapa final'!$H$12="Media",'Mapa final'!$L$12="Mayor"),CONCATENATE("R",'Mapa final'!$A$12),"")</f>
        <v/>
      </c>
      <c r="AG22" s="285"/>
      <c r="AH22" s="274" t="str">
        <f>IF(AND('Mapa final'!$H$10="Media",'Mapa final'!$L$10="Catastrófico"),CONCATENATE("R",'Mapa final'!$A$10),"")</f>
        <v/>
      </c>
      <c r="AI22" s="275"/>
      <c r="AJ22" s="275" t="str">
        <f>IF(AND('Mapa final'!$H$11="Media",'Mapa final'!$L$11="Catastrófico"),CONCATENATE("R",'Mapa final'!$A$11),"")</f>
        <v/>
      </c>
      <c r="AK22" s="275"/>
      <c r="AL22" s="275" t="str">
        <f>IF(AND('Mapa final'!$H$12="Media",'Mapa final'!$L$12="Catastrófico"),CONCATENATE("R",'Mapa final'!$A$12),"")</f>
        <v/>
      </c>
      <c r="AM22" s="276"/>
      <c r="AN22" s="83"/>
      <c r="AO22" s="317" t="s">
        <v>81</v>
      </c>
      <c r="AP22" s="318"/>
      <c r="AQ22" s="318"/>
      <c r="AR22" s="318"/>
      <c r="AS22" s="318"/>
      <c r="AT22" s="31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97"/>
      <c r="C23" s="297"/>
      <c r="D23" s="298"/>
      <c r="E23" s="290"/>
      <c r="F23" s="291"/>
      <c r="G23" s="291"/>
      <c r="H23" s="291"/>
      <c r="I23" s="292"/>
      <c r="J23" s="259"/>
      <c r="K23" s="260"/>
      <c r="L23" s="260"/>
      <c r="M23" s="260"/>
      <c r="N23" s="260"/>
      <c r="O23" s="261"/>
      <c r="P23" s="259"/>
      <c r="Q23" s="260"/>
      <c r="R23" s="260"/>
      <c r="S23" s="260"/>
      <c r="T23" s="260"/>
      <c r="U23" s="261"/>
      <c r="V23" s="259"/>
      <c r="W23" s="260"/>
      <c r="X23" s="260"/>
      <c r="Y23" s="260"/>
      <c r="Z23" s="260"/>
      <c r="AA23" s="261"/>
      <c r="AB23" s="277"/>
      <c r="AC23" s="278"/>
      <c r="AD23" s="278"/>
      <c r="AE23" s="278"/>
      <c r="AF23" s="278"/>
      <c r="AG23" s="279"/>
      <c r="AH23" s="268"/>
      <c r="AI23" s="269"/>
      <c r="AJ23" s="269"/>
      <c r="AK23" s="269"/>
      <c r="AL23" s="269"/>
      <c r="AM23" s="270"/>
      <c r="AN23" s="83"/>
      <c r="AO23" s="320"/>
      <c r="AP23" s="321"/>
      <c r="AQ23" s="321"/>
      <c r="AR23" s="321"/>
      <c r="AS23" s="321"/>
      <c r="AT23" s="32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97"/>
      <c r="C24" s="297"/>
      <c r="D24" s="298"/>
      <c r="E24" s="290"/>
      <c r="F24" s="291"/>
      <c r="G24" s="291"/>
      <c r="H24" s="291"/>
      <c r="I24" s="292"/>
      <c r="J24" s="259" t="str">
        <f>IF(AND('Mapa final'!$H$13="Media",'Mapa final'!$L$13="Leve"),CONCATENATE("R",'Mapa final'!$A$13),"")</f>
        <v/>
      </c>
      <c r="K24" s="260"/>
      <c r="L24" s="260" t="str">
        <f>IF(AND('Mapa final'!$H$19="Media",'Mapa final'!$L$19="Leve"),CONCATENATE("R",'Mapa final'!$A$19),"")</f>
        <v/>
      </c>
      <c r="M24" s="260"/>
      <c r="N24" s="260" t="str">
        <f>IF(AND('Mapa final'!$H$25="Media",'Mapa final'!$L$25="Leve"),CONCATENATE("R",'Mapa final'!$A$25),"")</f>
        <v/>
      </c>
      <c r="O24" s="261"/>
      <c r="P24" s="259" t="str">
        <f>IF(AND('Mapa final'!$H$13="Media",'Mapa final'!$L$13="Menor"),CONCATENATE("R",'Mapa final'!$A$13),"")</f>
        <v/>
      </c>
      <c r="Q24" s="260"/>
      <c r="R24" s="260" t="str">
        <f>IF(AND('Mapa final'!$H$19="Media",'Mapa final'!$L$19="Menor"),CONCATENATE("R",'Mapa final'!$A$19),"")</f>
        <v/>
      </c>
      <c r="S24" s="260"/>
      <c r="T24" s="260" t="str">
        <f>IF(AND('Mapa final'!$H$25="Media",'Mapa final'!$L$25="Menor"),CONCATENATE("R",'Mapa final'!$A$25),"")</f>
        <v/>
      </c>
      <c r="U24" s="261"/>
      <c r="V24" s="259" t="str">
        <f>IF(AND('Mapa final'!$H$13="Media",'Mapa final'!$L$13="Moderado"),CONCATENATE("R",'Mapa final'!$A$13),"")</f>
        <v/>
      </c>
      <c r="W24" s="260"/>
      <c r="X24" s="260" t="str">
        <f>IF(AND('Mapa final'!$H$19="Media",'Mapa final'!$L$19="Moderado"),CONCATENATE("R",'Mapa final'!$A$19),"")</f>
        <v/>
      </c>
      <c r="Y24" s="260"/>
      <c r="Z24" s="260" t="str">
        <f>IF(AND('Mapa final'!$H$25="Media",'Mapa final'!$L$25="Moderado"),CONCATENATE("R",'Mapa final'!$A$25),"")</f>
        <v/>
      </c>
      <c r="AA24" s="261"/>
      <c r="AB24" s="277" t="str">
        <f>IF(AND('Mapa final'!$H$13="Media",'Mapa final'!$L$13="Mayor"),CONCATENATE("R",'Mapa final'!$A$13),"")</f>
        <v/>
      </c>
      <c r="AC24" s="278"/>
      <c r="AD24" s="278" t="str">
        <f>IF(AND('Mapa final'!$H$19="Media",'Mapa final'!$L$19="Mayor"),CONCATENATE("R",'Mapa final'!$A$19),"")</f>
        <v/>
      </c>
      <c r="AE24" s="278"/>
      <c r="AF24" s="278" t="str">
        <f>IF(AND('Mapa final'!$H$25="Media",'Mapa final'!$L$25="Mayor"),CONCATENATE("R",'Mapa final'!$A$25),"")</f>
        <v/>
      </c>
      <c r="AG24" s="279"/>
      <c r="AH24" s="268" t="str">
        <f>IF(AND('Mapa final'!$H$13="Media",'Mapa final'!$L$13="Catastrófico"),CONCATENATE("R",'Mapa final'!$A$13),"")</f>
        <v/>
      </c>
      <c r="AI24" s="269"/>
      <c r="AJ24" s="269" t="str">
        <f>IF(AND('Mapa final'!$H$19="Media",'Mapa final'!$L$19="Catastrófico"),CONCATENATE("R",'Mapa final'!$A$19),"")</f>
        <v/>
      </c>
      <c r="AK24" s="269"/>
      <c r="AL24" s="269" t="str">
        <f>IF(AND('Mapa final'!$H$25="Media",'Mapa final'!$L$25="Catastrófico"),CONCATENATE("R",'Mapa final'!$A$25),"")</f>
        <v/>
      </c>
      <c r="AM24" s="270"/>
      <c r="AN24" s="83"/>
      <c r="AO24" s="320"/>
      <c r="AP24" s="321"/>
      <c r="AQ24" s="321"/>
      <c r="AR24" s="321"/>
      <c r="AS24" s="321"/>
      <c r="AT24" s="32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97"/>
      <c r="C25" s="297"/>
      <c r="D25" s="298"/>
      <c r="E25" s="290"/>
      <c r="F25" s="291"/>
      <c r="G25" s="291"/>
      <c r="H25" s="291"/>
      <c r="I25" s="292"/>
      <c r="J25" s="259"/>
      <c r="K25" s="260"/>
      <c r="L25" s="260"/>
      <c r="M25" s="260"/>
      <c r="N25" s="260"/>
      <c r="O25" s="261"/>
      <c r="P25" s="259"/>
      <c r="Q25" s="260"/>
      <c r="R25" s="260"/>
      <c r="S25" s="260"/>
      <c r="T25" s="260"/>
      <c r="U25" s="261"/>
      <c r="V25" s="259"/>
      <c r="W25" s="260"/>
      <c r="X25" s="260"/>
      <c r="Y25" s="260"/>
      <c r="Z25" s="260"/>
      <c r="AA25" s="261"/>
      <c r="AB25" s="277"/>
      <c r="AC25" s="278"/>
      <c r="AD25" s="278"/>
      <c r="AE25" s="278"/>
      <c r="AF25" s="278"/>
      <c r="AG25" s="279"/>
      <c r="AH25" s="268"/>
      <c r="AI25" s="269"/>
      <c r="AJ25" s="269"/>
      <c r="AK25" s="269"/>
      <c r="AL25" s="269"/>
      <c r="AM25" s="270"/>
      <c r="AN25" s="83"/>
      <c r="AO25" s="320"/>
      <c r="AP25" s="321"/>
      <c r="AQ25" s="321"/>
      <c r="AR25" s="321"/>
      <c r="AS25" s="321"/>
      <c r="AT25" s="32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97"/>
      <c r="C26" s="297"/>
      <c r="D26" s="298"/>
      <c r="E26" s="290"/>
      <c r="F26" s="291"/>
      <c r="G26" s="291"/>
      <c r="H26" s="291"/>
      <c r="I26" s="292"/>
      <c r="J26" s="259" t="str">
        <f>IF(AND('Mapa final'!$H$31="Media",'Mapa final'!$L$31="Leve"),CONCATENATE("R",'Mapa final'!$A$31),"")</f>
        <v/>
      </c>
      <c r="K26" s="260"/>
      <c r="L26" s="260" t="str">
        <f>IF(AND('Mapa final'!$H$37="Media",'Mapa final'!$L$37="Leve"),CONCATENATE("R",'Mapa final'!$A$37),"")</f>
        <v/>
      </c>
      <c r="M26" s="260"/>
      <c r="N26" s="260" t="str">
        <f>IF(AND('Mapa final'!$H$43="Media",'Mapa final'!$L$43="Leve"),CONCATENATE("R",'Mapa final'!$A$43),"")</f>
        <v/>
      </c>
      <c r="O26" s="261"/>
      <c r="P26" s="259" t="str">
        <f>IF(AND('Mapa final'!$H$31="Media",'Mapa final'!$L$31="Menor"),CONCATENATE("R",'Mapa final'!$A$31),"")</f>
        <v/>
      </c>
      <c r="Q26" s="260"/>
      <c r="R26" s="260" t="str">
        <f>IF(AND('Mapa final'!$H$37="Media",'Mapa final'!$L$37="Menor"),CONCATENATE("R",'Mapa final'!$A$37),"")</f>
        <v/>
      </c>
      <c r="S26" s="260"/>
      <c r="T26" s="260" t="str">
        <f>IF(AND('Mapa final'!$H$43="Media",'Mapa final'!$L$43="Menor"),CONCATENATE("R",'Mapa final'!$A$43),"")</f>
        <v/>
      </c>
      <c r="U26" s="261"/>
      <c r="V26" s="259" t="str">
        <f>IF(AND('Mapa final'!$H$31="Media",'Mapa final'!$L$31="Moderado"),CONCATENATE("R",'Mapa final'!$A$31),"")</f>
        <v/>
      </c>
      <c r="W26" s="260"/>
      <c r="X26" s="260" t="str">
        <f>IF(AND('Mapa final'!$H$37="Media",'Mapa final'!$L$37="Moderado"),CONCATENATE("R",'Mapa final'!$A$37),"")</f>
        <v/>
      </c>
      <c r="Y26" s="260"/>
      <c r="Z26" s="260" t="str">
        <f>IF(AND('Mapa final'!$H$43="Media",'Mapa final'!$L$43="Moderado"),CONCATENATE("R",'Mapa final'!$A$43),"")</f>
        <v/>
      </c>
      <c r="AA26" s="261"/>
      <c r="AB26" s="277" t="str">
        <f>IF(AND('Mapa final'!$H$31="Media",'Mapa final'!$L$31="Mayor"),CONCATENATE("R",'Mapa final'!$A$31),"")</f>
        <v/>
      </c>
      <c r="AC26" s="278"/>
      <c r="AD26" s="278" t="str">
        <f>IF(AND('Mapa final'!$H$37="Media",'Mapa final'!$L$37="Mayor"),CONCATENATE("R",'Mapa final'!$A$37),"")</f>
        <v/>
      </c>
      <c r="AE26" s="278"/>
      <c r="AF26" s="278" t="str">
        <f>IF(AND('Mapa final'!$H$43="Media",'Mapa final'!$L$43="Mayor"),CONCATENATE("R",'Mapa final'!$A$43),"")</f>
        <v/>
      </c>
      <c r="AG26" s="279"/>
      <c r="AH26" s="268" t="str">
        <f>IF(AND('Mapa final'!$H$31="Media",'Mapa final'!$L$31="Catastrófico"),CONCATENATE("R",'Mapa final'!$A$31),"")</f>
        <v/>
      </c>
      <c r="AI26" s="269"/>
      <c r="AJ26" s="269" t="str">
        <f>IF(AND('Mapa final'!$H$37="Media",'Mapa final'!$L$37="Catastrófico"),CONCATENATE("R",'Mapa final'!$A$37),"")</f>
        <v/>
      </c>
      <c r="AK26" s="269"/>
      <c r="AL26" s="269" t="str">
        <f>IF(AND('Mapa final'!$H$43="Media",'Mapa final'!$L$43="Catastrófico"),CONCATENATE("R",'Mapa final'!$A$43),"")</f>
        <v/>
      </c>
      <c r="AM26" s="270"/>
      <c r="AN26" s="83"/>
      <c r="AO26" s="320"/>
      <c r="AP26" s="321"/>
      <c r="AQ26" s="321"/>
      <c r="AR26" s="321"/>
      <c r="AS26" s="321"/>
      <c r="AT26" s="32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97"/>
      <c r="C27" s="297"/>
      <c r="D27" s="298"/>
      <c r="E27" s="290"/>
      <c r="F27" s="291"/>
      <c r="G27" s="291"/>
      <c r="H27" s="291"/>
      <c r="I27" s="292"/>
      <c r="J27" s="259"/>
      <c r="K27" s="260"/>
      <c r="L27" s="260"/>
      <c r="M27" s="260"/>
      <c r="N27" s="260"/>
      <c r="O27" s="261"/>
      <c r="P27" s="259"/>
      <c r="Q27" s="260"/>
      <c r="R27" s="260"/>
      <c r="S27" s="260"/>
      <c r="T27" s="260"/>
      <c r="U27" s="261"/>
      <c r="V27" s="259"/>
      <c r="W27" s="260"/>
      <c r="X27" s="260"/>
      <c r="Y27" s="260"/>
      <c r="Z27" s="260"/>
      <c r="AA27" s="261"/>
      <c r="AB27" s="277"/>
      <c r="AC27" s="278"/>
      <c r="AD27" s="278"/>
      <c r="AE27" s="278"/>
      <c r="AF27" s="278"/>
      <c r="AG27" s="279"/>
      <c r="AH27" s="268"/>
      <c r="AI27" s="269"/>
      <c r="AJ27" s="269"/>
      <c r="AK27" s="269"/>
      <c r="AL27" s="269"/>
      <c r="AM27" s="270"/>
      <c r="AN27" s="83"/>
      <c r="AO27" s="320"/>
      <c r="AP27" s="321"/>
      <c r="AQ27" s="321"/>
      <c r="AR27" s="321"/>
      <c r="AS27" s="321"/>
      <c r="AT27" s="32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97"/>
      <c r="C28" s="297"/>
      <c r="D28" s="298"/>
      <c r="E28" s="290"/>
      <c r="F28" s="291"/>
      <c r="G28" s="291"/>
      <c r="H28" s="291"/>
      <c r="I28" s="292"/>
      <c r="J28" s="259" t="str">
        <f>IF(AND('Mapa final'!$H$49="Media",'Mapa final'!$L$49="Leve"),CONCATENATE("R",'Mapa final'!$A$49),"")</f>
        <v/>
      </c>
      <c r="K28" s="260"/>
      <c r="L28" s="260" t="str">
        <f>IF(AND('Mapa final'!$H$55="Media",'Mapa final'!$L$55="Leve"),CONCATENATE("R",'Mapa final'!$A$55),"")</f>
        <v/>
      </c>
      <c r="M28" s="260"/>
      <c r="N28" s="260" t="str">
        <f>IF(AND('Mapa final'!$H$61="Media",'Mapa final'!$L$61="Leve"),CONCATENATE("R",'Mapa final'!$A$61),"")</f>
        <v/>
      </c>
      <c r="O28" s="261"/>
      <c r="P28" s="259" t="str">
        <f>IF(AND('Mapa final'!$H$49="Media",'Mapa final'!$L$49="Menor"),CONCATENATE("R",'Mapa final'!$A$49),"")</f>
        <v/>
      </c>
      <c r="Q28" s="260"/>
      <c r="R28" s="260" t="str">
        <f>IF(AND('Mapa final'!$H$55="Media",'Mapa final'!$L$55="Menor"),CONCATENATE("R",'Mapa final'!$A$55),"")</f>
        <v/>
      </c>
      <c r="S28" s="260"/>
      <c r="T28" s="260" t="str">
        <f>IF(AND('Mapa final'!$H$61="Media",'Mapa final'!$L$61="Menor"),CONCATENATE("R",'Mapa final'!$A$61),"")</f>
        <v/>
      </c>
      <c r="U28" s="261"/>
      <c r="V28" s="259" t="str">
        <f>IF(AND('Mapa final'!$H$49="Media",'Mapa final'!$L$49="Moderado"),CONCATENATE("R",'Mapa final'!$A$49),"")</f>
        <v/>
      </c>
      <c r="W28" s="260"/>
      <c r="X28" s="260" t="str">
        <f>IF(AND('Mapa final'!$H$55="Media",'Mapa final'!$L$55="Moderado"),CONCATENATE("R",'Mapa final'!$A$55),"")</f>
        <v/>
      </c>
      <c r="Y28" s="260"/>
      <c r="Z28" s="260" t="str">
        <f>IF(AND('Mapa final'!$H$61="Media",'Mapa final'!$L$61="Moderado"),CONCATENATE("R",'Mapa final'!$A$61),"")</f>
        <v/>
      </c>
      <c r="AA28" s="261"/>
      <c r="AB28" s="277" t="str">
        <f>IF(AND('Mapa final'!$H$49="Media",'Mapa final'!$L$49="Mayor"),CONCATENATE("R",'Mapa final'!$A$49),"")</f>
        <v/>
      </c>
      <c r="AC28" s="278"/>
      <c r="AD28" s="278" t="str">
        <f>IF(AND('Mapa final'!$H$55="Media",'Mapa final'!$L$55="Mayor"),CONCATENATE("R",'Mapa final'!$A$55),"")</f>
        <v/>
      </c>
      <c r="AE28" s="278"/>
      <c r="AF28" s="278" t="str">
        <f>IF(AND('Mapa final'!$H$61="Media",'Mapa final'!$L$61="Mayor"),CONCATENATE("R",'Mapa final'!$A$61),"")</f>
        <v/>
      </c>
      <c r="AG28" s="279"/>
      <c r="AH28" s="268" t="str">
        <f>IF(AND('Mapa final'!$H$49="Media",'Mapa final'!$L$49="Catastrófico"),CONCATENATE("R",'Mapa final'!$A$49),"")</f>
        <v/>
      </c>
      <c r="AI28" s="269"/>
      <c r="AJ28" s="269" t="str">
        <f>IF(AND('Mapa final'!$H$55="Media",'Mapa final'!$L$55="Catastrófico"),CONCATENATE("R",'Mapa final'!$A$55),"")</f>
        <v/>
      </c>
      <c r="AK28" s="269"/>
      <c r="AL28" s="269" t="str">
        <f>IF(AND('Mapa final'!$H$61="Media",'Mapa final'!$L$61="Catastrófico"),CONCATENATE("R",'Mapa final'!$A$61),"")</f>
        <v/>
      </c>
      <c r="AM28" s="270"/>
      <c r="AN28" s="83"/>
      <c r="AO28" s="320"/>
      <c r="AP28" s="321"/>
      <c r="AQ28" s="321"/>
      <c r="AR28" s="321"/>
      <c r="AS28" s="321"/>
      <c r="AT28" s="32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97"/>
      <c r="C29" s="297"/>
      <c r="D29" s="298"/>
      <c r="E29" s="293"/>
      <c r="F29" s="294"/>
      <c r="G29" s="294"/>
      <c r="H29" s="294"/>
      <c r="I29" s="295"/>
      <c r="J29" s="259"/>
      <c r="K29" s="260"/>
      <c r="L29" s="260"/>
      <c r="M29" s="260"/>
      <c r="N29" s="260"/>
      <c r="O29" s="261"/>
      <c r="P29" s="262"/>
      <c r="Q29" s="263"/>
      <c r="R29" s="263"/>
      <c r="S29" s="263"/>
      <c r="T29" s="263"/>
      <c r="U29" s="264"/>
      <c r="V29" s="262"/>
      <c r="W29" s="263"/>
      <c r="X29" s="263"/>
      <c r="Y29" s="263"/>
      <c r="Z29" s="263"/>
      <c r="AA29" s="264"/>
      <c r="AB29" s="280"/>
      <c r="AC29" s="281"/>
      <c r="AD29" s="281"/>
      <c r="AE29" s="281"/>
      <c r="AF29" s="281"/>
      <c r="AG29" s="282"/>
      <c r="AH29" s="271"/>
      <c r="AI29" s="272"/>
      <c r="AJ29" s="272"/>
      <c r="AK29" s="272"/>
      <c r="AL29" s="272"/>
      <c r="AM29" s="273"/>
      <c r="AN29" s="83"/>
      <c r="AO29" s="323"/>
      <c r="AP29" s="324"/>
      <c r="AQ29" s="324"/>
      <c r="AR29" s="324"/>
      <c r="AS29" s="324"/>
      <c r="AT29" s="32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97"/>
      <c r="C30" s="297"/>
      <c r="D30" s="298"/>
      <c r="E30" s="287" t="s">
        <v>114</v>
      </c>
      <c r="F30" s="288"/>
      <c r="G30" s="288"/>
      <c r="H30" s="288"/>
      <c r="I30" s="288"/>
      <c r="J30" s="256" t="str">
        <f>IF(AND('Mapa final'!$H$10="Baja",'Mapa final'!$L$10="Leve"),CONCATENATE("R",'Mapa final'!$A$10),"")</f>
        <v/>
      </c>
      <c r="K30" s="257"/>
      <c r="L30" s="257" t="str">
        <f>IF(AND('Mapa final'!$H$11="Baja",'Mapa final'!$L$11="Leve"),CONCATENATE("R",'Mapa final'!$A$11),"")</f>
        <v/>
      </c>
      <c r="M30" s="257"/>
      <c r="N30" s="257" t="str">
        <f>IF(AND('Mapa final'!$H$12="Baja",'Mapa final'!$L$12="Leve"),CONCATENATE("R",'Mapa final'!$A$12),"")</f>
        <v/>
      </c>
      <c r="O30" s="258"/>
      <c r="P30" s="266" t="str">
        <f>IF(AND('Mapa final'!$H$10="Baja",'Mapa final'!$L$10="Menor"),CONCATENATE("R",'Mapa final'!$A$10),"")</f>
        <v/>
      </c>
      <c r="Q30" s="266"/>
      <c r="R30" s="266" t="str">
        <f>IF(AND('Mapa final'!$H$11="Baja",'Mapa final'!$L$11="Menor"),CONCATENATE("R",'Mapa final'!$A$11),"")</f>
        <v/>
      </c>
      <c r="S30" s="266"/>
      <c r="T30" s="266" t="str">
        <f>IF(AND('Mapa final'!$H$12="Baja",'Mapa final'!$L$12="Menor"),CONCATENATE("R",'Mapa final'!$A$12),"")</f>
        <v/>
      </c>
      <c r="U30" s="267"/>
      <c r="V30" s="265" t="str">
        <f>IF(AND('Mapa final'!$H$10="Baja",'Mapa final'!$L$10="Moderado"),CONCATENATE("R",'Mapa final'!$A$10),"")</f>
        <v/>
      </c>
      <c r="W30" s="266"/>
      <c r="X30" s="266" t="str">
        <f>IF(AND('Mapa final'!$H$11="Baja",'Mapa final'!$L$11="Moderado"),CONCATENATE("R",'Mapa final'!$A$11),"")</f>
        <v/>
      </c>
      <c r="Y30" s="266"/>
      <c r="Z30" s="266" t="str">
        <f>IF(AND('Mapa final'!$H$12="Baja",'Mapa final'!$L$12="Moderado"),CONCATENATE("R",'Mapa final'!$A$12),"")</f>
        <v/>
      </c>
      <c r="AA30" s="267"/>
      <c r="AB30" s="283" t="str">
        <f>IF(AND('Mapa final'!$H$10="Baja",'Mapa final'!$L$10="Mayor"),CONCATENATE("R",'Mapa final'!$A$10),"")</f>
        <v/>
      </c>
      <c r="AC30" s="284"/>
      <c r="AD30" s="284" t="str">
        <f>IF(AND('Mapa final'!$H$11="Baja",'Mapa final'!$L$11="Mayor"),CONCATENATE("R",'Mapa final'!$A$11),"")</f>
        <v/>
      </c>
      <c r="AE30" s="284"/>
      <c r="AF30" s="284" t="str">
        <f>IF(AND('Mapa final'!$H$12="Baja",'Mapa final'!$L$12="Mayor"),CONCATENATE("R",'Mapa final'!$A$12),"")</f>
        <v/>
      </c>
      <c r="AG30" s="285"/>
      <c r="AH30" s="274" t="str">
        <f>IF(AND('Mapa final'!$H$10="Baja",'Mapa final'!$L$10="Catastrófico"),CONCATENATE("R",'Mapa final'!$A$10),"")</f>
        <v/>
      </c>
      <c r="AI30" s="275"/>
      <c r="AJ30" s="275" t="str">
        <f>IF(AND('Mapa final'!$H$11="Baja",'Mapa final'!$L$11="Catastrófico"),CONCATENATE("R",'Mapa final'!$A$11),"")</f>
        <v/>
      </c>
      <c r="AK30" s="275"/>
      <c r="AL30" s="275" t="str">
        <f>IF(AND('Mapa final'!$H$12="Baja",'Mapa final'!$L$12="Catastrófico"),CONCATENATE("R",'Mapa final'!$A$12),"")</f>
        <v/>
      </c>
      <c r="AM30" s="276"/>
      <c r="AN30" s="83"/>
      <c r="AO30" s="326" t="s">
        <v>82</v>
      </c>
      <c r="AP30" s="327"/>
      <c r="AQ30" s="327"/>
      <c r="AR30" s="327"/>
      <c r="AS30" s="327"/>
      <c r="AT30" s="32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97"/>
      <c r="C31" s="297"/>
      <c r="D31" s="298"/>
      <c r="E31" s="290"/>
      <c r="F31" s="291"/>
      <c r="G31" s="291"/>
      <c r="H31" s="291"/>
      <c r="I31" s="291"/>
      <c r="J31" s="250"/>
      <c r="K31" s="251"/>
      <c r="L31" s="251"/>
      <c r="M31" s="251"/>
      <c r="N31" s="251"/>
      <c r="O31" s="252"/>
      <c r="P31" s="260"/>
      <c r="Q31" s="260"/>
      <c r="R31" s="260"/>
      <c r="S31" s="260"/>
      <c r="T31" s="260"/>
      <c r="U31" s="261"/>
      <c r="V31" s="259"/>
      <c r="W31" s="260"/>
      <c r="X31" s="260"/>
      <c r="Y31" s="260"/>
      <c r="Z31" s="260"/>
      <c r="AA31" s="261"/>
      <c r="AB31" s="277"/>
      <c r="AC31" s="278"/>
      <c r="AD31" s="278"/>
      <c r="AE31" s="278"/>
      <c r="AF31" s="278"/>
      <c r="AG31" s="279"/>
      <c r="AH31" s="268"/>
      <c r="AI31" s="269"/>
      <c r="AJ31" s="269"/>
      <c r="AK31" s="269"/>
      <c r="AL31" s="269"/>
      <c r="AM31" s="270"/>
      <c r="AN31" s="83"/>
      <c r="AO31" s="329"/>
      <c r="AP31" s="330"/>
      <c r="AQ31" s="330"/>
      <c r="AR31" s="330"/>
      <c r="AS31" s="330"/>
      <c r="AT31" s="33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97"/>
      <c r="C32" s="297"/>
      <c r="D32" s="298"/>
      <c r="E32" s="290"/>
      <c r="F32" s="291"/>
      <c r="G32" s="291"/>
      <c r="H32" s="291"/>
      <c r="I32" s="291"/>
      <c r="J32" s="250" t="str">
        <f>IF(AND('Mapa final'!$H$13="Baja",'Mapa final'!$L$13="Leve"),CONCATENATE("R",'Mapa final'!$A$13),"")</f>
        <v/>
      </c>
      <c r="K32" s="251"/>
      <c r="L32" s="251" t="str">
        <f>IF(AND('Mapa final'!$H$19="Baja",'Mapa final'!$L$19="Leve"),CONCATENATE("R",'Mapa final'!$A$19),"")</f>
        <v/>
      </c>
      <c r="M32" s="251"/>
      <c r="N32" s="251" t="str">
        <f>IF(AND('Mapa final'!$H$25="Baja",'Mapa final'!$L$25="Leve"),CONCATENATE("R",'Mapa final'!$A$25),"")</f>
        <v/>
      </c>
      <c r="O32" s="252"/>
      <c r="P32" s="260" t="str">
        <f>IF(AND('Mapa final'!$H$13="Baja",'Mapa final'!$L$13="Menor"),CONCATENATE("R",'Mapa final'!$A$13),"")</f>
        <v/>
      </c>
      <c r="Q32" s="260"/>
      <c r="R32" s="260" t="str">
        <f>IF(AND('Mapa final'!$H$19="Baja",'Mapa final'!$L$19="Menor"),CONCATENATE("R",'Mapa final'!$A$19),"")</f>
        <v/>
      </c>
      <c r="S32" s="260"/>
      <c r="T32" s="260" t="str">
        <f>IF(AND('Mapa final'!$H$25="Baja",'Mapa final'!$L$25="Menor"),CONCATENATE("R",'Mapa final'!$A$25),"")</f>
        <v/>
      </c>
      <c r="U32" s="261"/>
      <c r="V32" s="259" t="str">
        <f>IF(AND('Mapa final'!$H$13="Baja",'Mapa final'!$L$13="Moderado"),CONCATENATE("R",'Mapa final'!$A$13),"")</f>
        <v/>
      </c>
      <c r="W32" s="260"/>
      <c r="X32" s="260" t="str">
        <f>IF(AND('Mapa final'!$H$19="Baja",'Mapa final'!$L$19="Moderado"),CONCATENATE("R",'Mapa final'!$A$19),"")</f>
        <v/>
      </c>
      <c r="Y32" s="260"/>
      <c r="Z32" s="260" t="str">
        <f>IF(AND('Mapa final'!$H$25="Baja",'Mapa final'!$L$25="Moderado"),CONCATENATE("R",'Mapa final'!$A$25),"")</f>
        <v/>
      </c>
      <c r="AA32" s="261"/>
      <c r="AB32" s="277" t="str">
        <f>IF(AND('Mapa final'!$H$13="Baja",'Mapa final'!$L$13="Mayor"),CONCATENATE("R",'Mapa final'!$A$13),"")</f>
        <v/>
      </c>
      <c r="AC32" s="278"/>
      <c r="AD32" s="278" t="str">
        <f>IF(AND('Mapa final'!$H$19="Baja",'Mapa final'!$L$19="Mayor"),CONCATENATE("R",'Mapa final'!$A$19),"")</f>
        <v/>
      </c>
      <c r="AE32" s="278"/>
      <c r="AF32" s="278" t="str">
        <f>IF(AND('Mapa final'!$H$25="Baja",'Mapa final'!$L$25="Mayor"),CONCATENATE("R",'Mapa final'!$A$25),"")</f>
        <v/>
      </c>
      <c r="AG32" s="279"/>
      <c r="AH32" s="268" t="str">
        <f>IF(AND('Mapa final'!$H$13="Baja",'Mapa final'!$L$13="Catastrófico"),CONCATENATE("R",'Mapa final'!$A$13),"")</f>
        <v/>
      </c>
      <c r="AI32" s="269"/>
      <c r="AJ32" s="269" t="str">
        <f>IF(AND('Mapa final'!$H$19="Baja",'Mapa final'!$L$19="Catastrófico"),CONCATENATE("R",'Mapa final'!$A$19),"")</f>
        <v/>
      </c>
      <c r="AK32" s="269"/>
      <c r="AL32" s="269" t="str">
        <f>IF(AND('Mapa final'!$H$25="Baja",'Mapa final'!$L$25="Catastrófico"),CONCATENATE("R",'Mapa final'!$A$25),"")</f>
        <v/>
      </c>
      <c r="AM32" s="270"/>
      <c r="AN32" s="83"/>
      <c r="AO32" s="329"/>
      <c r="AP32" s="330"/>
      <c r="AQ32" s="330"/>
      <c r="AR32" s="330"/>
      <c r="AS32" s="330"/>
      <c r="AT32" s="33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97"/>
      <c r="C33" s="297"/>
      <c r="D33" s="298"/>
      <c r="E33" s="290"/>
      <c r="F33" s="291"/>
      <c r="G33" s="291"/>
      <c r="H33" s="291"/>
      <c r="I33" s="291"/>
      <c r="J33" s="250"/>
      <c r="K33" s="251"/>
      <c r="L33" s="251"/>
      <c r="M33" s="251"/>
      <c r="N33" s="251"/>
      <c r="O33" s="252"/>
      <c r="P33" s="260"/>
      <c r="Q33" s="260"/>
      <c r="R33" s="260"/>
      <c r="S33" s="260"/>
      <c r="T33" s="260"/>
      <c r="U33" s="261"/>
      <c r="V33" s="259"/>
      <c r="W33" s="260"/>
      <c r="X33" s="260"/>
      <c r="Y33" s="260"/>
      <c r="Z33" s="260"/>
      <c r="AA33" s="261"/>
      <c r="AB33" s="277"/>
      <c r="AC33" s="278"/>
      <c r="AD33" s="278"/>
      <c r="AE33" s="278"/>
      <c r="AF33" s="278"/>
      <c r="AG33" s="279"/>
      <c r="AH33" s="268"/>
      <c r="AI33" s="269"/>
      <c r="AJ33" s="269"/>
      <c r="AK33" s="269"/>
      <c r="AL33" s="269"/>
      <c r="AM33" s="270"/>
      <c r="AN33" s="83"/>
      <c r="AO33" s="329"/>
      <c r="AP33" s="330"/>
      <c r="AQ33" s="330"/>
      <c r="AR33" s="330"/>
      <c r="AS33" s="330"/>
      <c r="AT33" s="33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97"/>
      <c r="C34" s="297"/>
      <c r="D34" s="298"/>
      <c r="E34" s="290"/>
      <c r="F34" s="291"/>
      <c r="G34" s="291"/>
      <c r="H34" s="291"/>
      <c r="I34" s="291"/>
      <c r="J34" s="250" t="str">
        <f>IF(AND('Mapa final'!$H$31="Baja",'Mapa final'!$L$31="Leve"),CONCATENATE("R",'Mapa final'!$A$31),"")</f>
        <v/>
      </c>
      <c r="K34" s="251"/>
      <c r="L34" s="251" t="str">
        <f>IF(AND('Mapa final'!$H$37="Baja",'Mapa final'!$L$37="Leve"),CONCATENATE("R",'Mapa final'!$A$37),"")</f>
        <v/>
      </c>
      <c r="M34" s="251"/>
      <c r="N34" s="251" t="str">
        <f>IF(AND('Mapa final'!$H$43="Baja",'Mapa final'!$L$43="Leve"),CONCATENATE("R",'Mapa final'!$A$43),"")</f>
        <v/>
      </c>
      <c r="O34" s="252"/>
      <c r="P34" s="260" t="str">
        <f>IF(AND('Mapa final'!$H$31="Baja",'Mapa final'!$L$31="Menor"),CONCATENATE("R",'Mapa final'!$A$31),"")</f>
        <v/>
      </c>
      <c r="Q34" s="260"/>
      <c r="R34" s="260" t="str">
        <f>IF(AND('Mapa final'!$H$37="Baja",'Mapa final'!$L$37="Menor"),CONCATENATE("R",'Mapa final'!$A$37),"")</f>
        <v/>
      </c>
      <c r="S34" s="260"/>
      <c r="T34" s="260" t="str">
        <f>IF(AND('Mapa final'!$H$43="Baja",'Mapa final'!$L$43="Menor"),CONCATENATE("R",'Mapa final'!$A$43),"")</f>
        <v/>
      </c>
      <c r="U34" s="261"/>
      <c r="V34" s="259" t="str">
        <f>IF(AND('Mapa final'!$H$31="Baja",'Mapa final'!$L$31="Moderado"),CONCATENATE("R",'Mapa final'!$A$31),"")</f>
        <v/>
      </c>
      <c r="W34" s="260"/>
      <c r="X34" s="260" t="str">
        <f>IF(AND('Mapa final'!$H$37="Baja",'Mapa final'!$L$37="Moderado"),CONCATENATE("R",'Mapa final'!$A$37),"")</f>
        <v/>
      </c>
      <c r="Y34" s="260"/>
      <c r="Z34" s="260" t="str">
        <f>IF(AND('Mapa final'!$H$43="Baja",'Mapa final'!$L$43="Moderado"),CONCATENATE("R",'Mapa final'!$A$43),"")</f>
        <v/>
      </c>
      <c r="AA34" s="261"/>
      <c r="AB34" s="277" t="str">
        <f>IF(AND('Mapa final'!$H$31="Baja",'Mapa final'!$L$31="Mayor"),CONCATENATE("R",'Mapa final'!$A$31),"")</f>
        <v/>
      </c>
      <c r="AC34" s="278"/>
      <c r="AD34" s="278" t="str">
        <f>IF(AND('Mapa final'!$H$37="Baja",'Mapa final'!$L$37="Mayor"),CONCATENATE("R",'Mapa final'!$A$37),"")</f>
        <v/>
      </c>
      <c r="AE34" s="278"/>
      <c r="AF34" s="278" t="str">
        <f>IF(AND('Mapa final'!$H$43="Baja",'Mapa final'!$L$43="Mayor"),CONCATENATE("R",'Mapa final'!$A$43),"")</f>
        <v/>
      </c>
      <c r="AG34" s="279"/>
      <c r="AH34" s="268" t="str">
        <f>IF(AND('Mapa final'!$H$31="Baja",'Mapa final'!$L$31="Catastrófico"),CONCATENATE("R",'Mapa final'!$A$31),"")</f>
        <v/>
      </c>
      <c r="AI34" s="269"/>
      <c r="AJ34" s="269" t="str">
        <f>IF(AND('Mapa final'!$H$37="Baja",'Mapa final'!$L$37="Catastrófico"),CONCATENATE("R",'Mapa final'!$A$37),"")</f>
        <v/>
      </c>
      <c r="AK34" s="269"/>
      <c r="AL34" s="269" t="str">
        <f>IF(AND('Mapa final'!$H$43="Baja",'Mapa final'!$L$43="Catastrófico"),CONCATENATE("R",'Mapa final'!$A$43),"")</f>
        <v/>
      </c>
      <c r="AM34" s="270"/>
      <c r="AN34" s="83"/>
      <c r="AO34" s="329"/>
      <c r="AP34" s="330"/>
      <c r="AQ34" s="330"/>
      <c r="AR34" s="330"/>
      <c r="AS34" s="330"/>
      <c r="AT34" s="33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97"/>
      <c r="C35" s="297"/>
      <c r="D35" s="298"/>
      <c r="E35" s="290"/>
      <c r="F35" s="291"/>
      <c r="G35" s="291"/>
      <c r="H35" s="291"/>
      <c r="I35" s="291"/>
      <c r="J35" s="250"/>
      <c r="K35" s="251"/>
      <c r="L35" s="251"/>
      <c r="M35" s="251"/>
      <c r="N35" s="251"/>
      <c r="O35" s="252"/>
      <c r="P35" s="260"/>
      <c r="Q35" s="260"/>
      <c r="R35" s="260"/>
      <c r="S35" s="260"/>
      <c r="T35" s="260"/>
      <c r="U35" s="261"/>
      <c r="V35" s="259"/>
      <c r="W35" s="260"/>
      <c r="X35" s="260"/>
      <c r="Y35" s="260"/>
      <c r="Z35" s="260"/>
      <c r="AA35" s="261"/>
      <c r="AB35" s="277"/>
      <c r="AC35" s="278"/>
      <c r="AD35" s="278"/>
      <c r="AE35" s="278"/>
      <c r="AF35" s="278"/>
      <c r="AG35" s="279"/>
      <c r="AH35" s="268"/>
      <c r="AI35" s="269"/>
      <c r="AJ35" s="269"/>
      <c r="AK35" s="269"/>
      <c r="AL35" s="269"/>
      <c r="AM35" s="270"/>
      <c r="AN35" s="83"/>
      <c r="AO35" s="329"/>
      <c r="AP35" s="330"/>
      <c r="AQ35" s="330"/>
      <c r="AR35" s="330"/>
      <c r="AS35" s="330"/>
      <c r="AT35" s="33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97"/>
      <c r="C36" s="297"/>
      <c r="D36" s="298"/>
      <c r="E36" s="290"/>
      <c r="F36" s="291"/>
      <c r="G36" s="291"/>
      <c r="H36" s="291"/>
      <c r="I36" s="291"/>
      <c r="J36" s="250" t="str">
        <f>IF(AND('Mapa final'!$H$49="Baja",'Mapa final'!$L$49="Leve"),CONCATENATE("R",'Mapa final'!$A$49),"")</f>
        <v/>
      </c>
      <c r="K36" s="251"/>
      <c r="L36" s="251" t="str">
        <f>IF(AND('Mapa final'!$H$55="Baja",'Mapa final'!$L$55="Leve"),CONCATENATE("R",'Mapa final'!$A$55),"")</f>
        <v/>
      </c>
      <c r="M36" s="251"/>
      <c r="N36" s="251" t="str">
        <f>IF(AND('Mapa final'!$H$61="Baja",'Mapa final'!$L$61="Leve"),CONCATENATE("R",'Mapa final'!$A$61),"")</f>
        <v/>
      </c>
      <c r="O36" s="252"/>
      <c r="P36" s="260" t="str">
        <f>IF(AND('Mapa final'!$H$49="Baja",'Mapa final'!$L$49="Menor"),CONCATENATE("R",'Mapa final'!$A$49),"")</f>
        <v/>
      </c>
      <c r="Q36" s="260"/>
      <c r="R36" s="260" t="str">
        <f>IF(AND('Mapa final'!$H$55="Baja",'Mapa final'!$L$55="Menor"),CONCATENATE("R",'Mapa final'!$A$55),"")</f>
        <v/>
      </c>
      <c r="S36" s="260"/>
      <c r="T36" s="260" t="str">
        <f>IF(AND('Mapa final'!$H$61="Baja",'Mapa final'!$L$61="Menor"),CONCATENATE("R",'Mapa final'!$A$61),"")</f>
        <v/>
      </c>
      <c r="U36" s="261"/>
      <c r="V36" s="259" t="str">
        <f>IF(AND('Mapa final'!$H$49="Baja",'Mapa final'!$L$49="Moderado"),CONCATENATE("R",'Mapa final'!$A$49),"")</f>
        <v/>
      </c>
      <c r="W36" s="260"/>
      <c r="X36" s="260" t="str">
        <f>IF(AND('Mapa final'!$H$55="Baja",'Mapa final'!$L$55="Moderado"),CONCATENATE("R",'Mapa final'!$A$55),"")</f>
        <v/>
      </c>
      <c r="Y36" s="260"/>
      <c r="Z36" s="260" t="str">
        <f>IF(AND('Mapa final'!$H$61="Baja",'Mapa final'!$L$61="Moderado"),CONCATENATE("R",'Mapa final'!$A$61),"")</f>
        <v/>
      </c>
      <c r="AA36" s="261"/>
      <c r="AB36" s="277" t="str">
        <f>IF(AND('Mapa final'!$H$49="Baja",'Mapa final'!$L$49="Mayor"),CONCATENATE("R",'Mapa final'!$A$49),"")</f>
        <v/>
      </c>
      <c r="AC36" s="278"/>
      <c r="AD36" s="278" t="str">
        <f>IF(AND('Mapa final'!$H$55="Baja",'Mapa final'!$L$55="Mayor"),CONCATENATE("R",'Mapa final'!$A$55),"")</f>
        <v/>
      </c>
      <c r="AE36" s="278"/>
      <c r="AF36" s="278" t="str">
        <f>IF(AND('Mapa final'!$H$61="Baja",'Mapa final'!$L$61="Mayor"),CONCATENATE("R",'Mapa final'!$A$61),"")</f>
        <v/>
      </c>
      <c r="AG36" s="279"/>
      <c r="AH36" s="268" t="str">
        <f>IF(AND('Mapa final'!$H$49="Baja",'Mapa final'!$L$49="Catastrófico"),CONCATENATE("R",'Mapa final'!$A$49),"")</f>
        <v/>
      </c>
      <c r="AI36" s="269"/>
      <c r="AJ36" s="269" t="str">
        <f>IF(AND('Mapa final'!$H$55="Baja",'Mapa final'!$L$55="Catastrófico"),CONCATENATE("R",'Mapa final'!$A$55),"")</f>
        <v/>
      </c>
      <c r="AK36" s="269"/>
      <c r="AL36" s="269" t="str">
        <f>IF(AND('Mapa final'!$H$61="Baja",'Mapa final'!$L$61="Catastrófico"),CONCATENATE("R",'Mapa final'!$A$61),"")</f>
        <v/>
      </c>
      <c r="AM36" s="270"/>
      <c r="AN36" s="83"/>
      <c r="AO36" s="329"/>
      <c r="AP36" s="330"/>
      <c r="AQ36" s="330"/>
      <c r="AR36" s="330"/>
      <c r="AS36" s="330"/>
      <c r="AT36" s="33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97"/>
      <c r="C37" s="297"/>
      <c r="D37" s="298"/>
      <c r="E37" s="293"/>
      <c r="F37" s="294"/>
      <c r="G37" s="294"/>
      <c r="H37" s="294"/>
      <c r="I37" s="294"/>
      <c r="J37" s="253"/>
      <c r="K37" s="254"/>
      <c r="L37" s="254"/>
      <c r="M37" s="254"/>
      <c r="N37" s="254"/>
      <c r="O37" s="255"/>
      <c r="P37" s="263"/>
      <c r="Q37" s="263"/>
      <c r="R37" s="263"/>
      <c r="S37" s="263"/>
      <c r="T37" s="263"/>
      <c r="U37" s="264"/>
      <c r="V37" s="262"/>
      <c r="W37" s="263"/>
      <c r="X37" s="263"/>
      <c r="Y37" s="263"/>
      <c r="Z37" s="263"/>
      <c r="AA37" s="264"/>
      <c r="AB37" s="280"/>
      <c r="AC37" s="281"/>
      <c r="AD37" s="281"/>
      <c r="AE37" s="281"/>
      <c r="AF37" s="281"/>
      <c r="AG37" s="282"/>
      <c r="AH37" s="271"/>
      <c r="AI37" s="272"/>
      <c r="AJ37" s="272"/>
      <c r="AK37" s="272"/>
      <c r="AL37" s="272"/>
      <c r="AM37" s="273"/>
      <c r="AN37" s="83"/>
      <c r="AO37" s="332"/>
      <c r="AP37" s="333"/>
      <c r="AQ37" s="333"/>
      <c r="AR37" s="333"/>
      <c r="AS37" s="333"/>
      <c r="AT37" s="33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97"/>
      <c r="C38" s="297"/>
      <c r="D38" s="298"/>
      <c r="E38" s="287" t="s">
        <v>113</v>
      </c>
      <c r="F38" s="288"/>
      <c r="G38" s="288"/>
      <c r="H38" s="288"/>
      <c r="I38" s="289"/>
      <c r="J38" s="256" t="str">
        <f>IF(AND('Mapa final'!$H$10="Muy Baja",'Mapa final'!$L$10="Leve"),CONCATENATE("R",'Mapa final'!$A$10),"")</f>
        <v/>
      </c>
      <c r="K38" s="257"/>
      <c r="L38" s="257" t="str">
        <f>IF(AND('Mapa final'!$H$11="Muy Baja",'Mapa final'!$L$11="Leve"),CONCATENATE("R",'Mapa final'!$A$11),"")</f>
        <v/>
      </c>
      <c r="M38" s="257"/>
      <c r="N38" s="257" t="str">
        <f>IF(AND('Mapa final'!$H$12="Muy Baja",'Mapa final'!$L$12="Leve"),CONCATENATE("R",'Mapa final'!$A$12),"")</f>
        <v/>
      </c>
      <c r="O38" s="258"/>
      <c r="P38" s="256" t="str">
        <f>IF(AND('Mapa final'!$H$10="Muy Baja",'Mapa final'!$L$10="Menor"),CONCATENATE("R",'Mapa final'!$A$10),"")</f>
        <v/>
      </c>
      <c r="Q38" s="257"/>
      <c r="R38" s="257" t="str">
        <f>IF(AND('Mapa final'!$H$11="Muy Baja",'Mapa final'!$L$11="Menor"),CONCATENATE("R",'Mapa final'!$A$11),"")</f>
        <v/>
      </c>
      <c r="S38" s="257"/>
      <c r="T38" s="257" t="str">
        <f>IF(AND('Mapa final'!$H$12="Muy Baja",'Mapa final'!$L$12="Menor"),CONCATENATE("R",'Mapa final'!$A$12),"")</f>
        <v/>
      </c>
      <c r="U38" s="258"/>
      <c r="V38" s="265" t="str">
        <f>IF(AND('Mapa final'!$H$10="Muy Baja",'Mapa final'!$L$10="Moderado"),CONCATENATE("R",'Mapa final'!$A$10),"")</f>
        <v/>
      </c>
      <c r="W38" s="266"/>
      <c r="X38" s="266" t="str">
        <f>IF(AND('Mapa final'!$H$11="Muy Baja",'Mapa final'!$L$11="Moderado"),CONCATENATE("R",'Mapa final'!$A$11),"")</f>
        <v/>
      </c>
      <c r="Y38" s="266"/>
      <c r="Z38" s="266" t="str">
        <f>IF(AND('Mapa final'!$H$12="Muy Baja",'Mapa final'!$L$12="Moderado"),CONCATENATE("R",'Mapa final'!$A$12),"")</f>
        <v/>
      </c>
      <c r="AA38" s="267"/>
      <c r="AB38" s="283" t="str">
        <f>IF(AND('Mapa final'!$H$10="Muy Baja",'Mapa final'!$L$10="Mayor"),CONCATENATE("R",'Mapa final'!$A$10),"")</f>
        <v/>
      </c>
      <c r="AC38" s="284"/>
      <c r="AD38" s="284" t="str">
        <f>IF(AND('Mapa final'!$H$11="Muy Baja",'Mapa final'!$L$11="Mayor"),CONCATENATE("R",'Mapa final'!$A$11),"")</f>
        <v/>
      </c>
      <c r="AE38" s="284"/>
      <c r="AF38" s="284" t="str">
        <f>IF(AND('Mapa final'!$H$12="Muy Baja",'Mapa final'!$L$12="Mayor"),CONCATENATE("R",'Mapa final'!$A$12),"")</f>
        <v/>
      </c>
      <c r="AG38" s="285"/>
      <c r="AH38" s="274" t="str">
        <f>IF(AND('Mapa final'!$H$10="Muy Baja",'Mapa final'!$L$10="Catastrófico"),CONCATENATE("R",'Mapa final'!$A$10),"")</f>
        <v/>
      </c>
      <c r="AI38" s="275"/>
      <c r="AJ38" s="275" t="str">
        <f>IF(AND('Mapa final'!$H$11="Muy Baja",'Mapa final'!$L$11="Catastrófico"),CONCATENATE("R",'Mapa final'!$A$11),"")</f>
        <v/>
      </c>
      <c r="AK38" s="275"/>
      <c r="AL38" s="275" t="str">
        <f>IF(AND('Mapa final'!$H$12="Muy Baja",'Mapa final'!$L$12="Catastrófico"),CONCATENATE("R",'Mapa final'!$A$12),"")</f>
        <v/>
      </c>
      <c r="AM38" s="276"/>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97"/>
      <c r="C39" s="297"/>
      <c r="D39" s="298"/>
      <c r="E39" s="290"/>
      <c r="F39" s="291"/>
      <c r="G39" s="291"/>
      <c r="H39" s="291"/>
      <c r="I39" s="292"/>
      <c r="J39" s="250"/>
      <c r="K39" s="251"/>
      <c r="L39" s="251"/>
      <c r="M39" s="251"/>
      <c r="N39" s="251"/>
      <c r="O39" s="252"/>
      <c r="P39" s="250"/>
      <c r="Q39" s="251"/>
      <c r="R39" s="251"/>
      <c r="S39" s="251"/>
      <c r="T39" s="251"/>
      <c r="U39" s="252"/>
      <c r="V39" s="259"/>
      <c r="W39" s="260"/>
      <c r="X39" s="260"/>
      <c r="Y39" s="260"/>
      <c r="Z39" s="260"/>
      <c r="AA39" s="261"/>
      <c r="AB39" s="277"/>
      <c r="AC39" s="278"/>
      <c r="AD39" s="278"/>
      <c r="AE39" s="278"/>
      <c r="AF39" s="278"/>
      <c r="AG39" s="279"/>
      <c r="AH39" s="268"/>
      <c r="AI39" s="269"/>
      <c r="AJ39" s="269"/>
      <c r="AK39" s="269"/>
      <c r="AL39" s="269"/>
      <c r="AM39" s="270"/>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97"/>
      <c r="C40" s="297"/>
      <c r="D40" s="298"/>
      <c r="E40" s="290"/>
      <c r="F40" s="291"/>
      <c r="G40" s="291"/>
      <c r="H40" s="291"/>
      <c r="I40" s="292"/>
      <c r="J40" s="250" t="str">
        <f>IF(AND('Mapa final'!$H$13="Muy Baja",'Mapa final'!$L$13="Leve"),CONCATENATE("R",'Mapa final'!$A$13),"")</f>
        <v/>
      </c>
      <c r="K40" s="251"/>
      <c r="L40" s="251" t="str">
        <f>IF(AND('Mapa final'!$H$19="Muy Baja",'Mapa final'!$L$19="Leve"),CONCATENATE("R",'Mapa final'!$A$19),"")</f>
        <v/>
      </c>
      <c r="M40" s="251"/>
      <c r="N40" s="251" t="str">
        <f>IF(AND('Mapa final'!$H$25="Muy Baja",'Mapa final'!$L$25="Leve"),CONCATENATE("R",'Mapa final'!$A$25),"")</f>
        <v/>
      </c>
      <c r="O40" s="252"/>
      <c r="P40" s="250" t="str">
        <f>IF(AND('Mapa final'!$H$13="Muy Baja",'Mapa final'!$L$13="Menor"),CONCATENATE("R",'Mapa final'!$A$13),"")</f>
        <v/>
      </c>
      <c r="Q40" s="251"/>
      <c r="R40" s="251" t="str">
        <f>IF(AND('Mapa final'!$H$19="Muy Baja",'Mapa final'!$L$19="Menor"),CONCATENATE("R",'Mapa final'!$A$19),"")</f>
        <v/>
      </c>
      <c r="S40" s="251"/>
      <c r="T40" s="251" t="str">
        <f>IF(AND('Mapa final'!$H$25="Muy Baja",'Mapa final'!$L$25="Menor"),CONCATENATE("R",'Mapa final'!$A$25),"")</f>
        <v/>
      </c>
      <c r="U40" s="252"/>
      <c r="V40" s="259" t="str">
        <f>IF(AND('Mapa final'!$H$13="Muy Baja",'Mapa final'!$L$13="Moderado"),CONCATENATE("R",'Mapa final'!$A$13),"")</f>
        <v/>
      </c>
      <c r="W40" s="260"/>
      <c r="X40" s="260" t="str">
        <f>IF(AND('Mapa final'!$H$19="Muy Baja",'Mapa final'!$L$19="Moderado"),CONCATENATE("R",'Mapa final'!$A$19),"")</f>
        <v/>
      </c>
      <c r="Y40" s="260"/>
      <c r="Z40" s="260" t="str">
        <f>IF(AND('Mapa final'!$H$25="Muy Baja",'Mapa final'!$L$25="Moderado"),CONCATENATE("R",'Mapa final'!$A$25),"")</f>
        <v/>
      </c>
      <c r="AA40" s="261"/>
      <c r="AB40" s="277" t="str">
        <f>IF(AND('Mapa final'!$H$13="Muy Baja",'Mapa final'!$L$13="Mayor"),CONCATENATE("R",'Mapa final'!$A$13),"")</f>
        <v/>
      </c>
      <c r="AC40" s="278"/>
      <c r="AD40" s="278" t="str">
        <f>IF(AND('Mapa final'!$H$19="Muy Baja",'Mapa final'!$L$19="Mayor"),CONCATENATE("R",'Mapa final'!$A$19),"")</f>
        <v/>
      </c>
      <c r="AE40" s="278"/>
      <c r="AF40" s="278" t="str">
        <f>IF(AND('Mapa final'!$H$25="Muy Baja",'Mapa final'!$L$25="Mayor"),CONCATENATE("R",'Mapa final'!$A$25),"")</f>
        <v/>
      </c>
      <c r="AG40" s="279"/>
      <c r="AH40" s="268" t="str">
        <f>IF(AND('Mapa final'!$H$13="Muy Baja",'Mapa final'!$L$13="Catastrófico"),CONCATENATE("R",'Mapa final'!$A$13),"")</f>
        <v/>
      </c>
      <c r="AI40" s="269"/>
      <c r="AJ40" s="269" t="str">
        <f>IF(AND('Mapa final'!$H$19="Muy Baja",'Mapa final'!$L$19="Catastrófico"),CONCATENATE("R",'Mapa final'!$A$19),"")</f>
        <v/>
      </c>
      <c r="AK40" s="269"/>
      <c r="AL40" s="269" t="str">
        <f>IF(AND('Mapa final'!$H$25="Muy Baja",'Mapa final'!$L$25="Catastrófico"),CONCATENATE("R",'Mapa final'!$A$25),"")</f>
        <v/>
      </c>
      <c r="AM40" s="270"/>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97"/>
      <c r="C41" s="297"/>
      <c r="D41" s="298"/>
      <c r="E41" s="290"/>
      <c r="F41" s="291"/>
      <c r="G41" s="291"/>
      <c r="H41" s="291"/>
      <c r="I41" s="292"/>
      <c r="J41" s="250"/>
      <c r="K41" s="251"/>
      <c r="L41" s="251"/>
      <c r="M41" s="251"/>
      <c r="N41" s="251"/>
      <c r="O41" s="252"/>
      <c r="P41" s="250"/>
      <c r="Q41" s="251"/>
      <c r="R41" s="251"/>
      <c r="S41" s="251"/>
      <c r="T41" s="251"/>
      <c r="U41" s="252"/>
      <c r="V41" s="259"/>
      <c r="W41" s="260"/>
      <c r="X41" s="260"/>
      <c r="Y41" s="260"/>
      <c r="Z41" s="260"/>
      <c r="AA41" s="261"/>
      <c r="AB41" s="277"/>
      <c r="AC41" s="278"/>
      <c r="AD41" s="278"/>
      <c r="AE41" s="278"/>
      <c r="AF41" s="278"/>
      <c r="AG41" s="279"/>
      <c r="AH41" s="268"/>
      <c r="AI41" s="269"/>
      <c r="AJ41" s="269"/>
      <c r="AK41" s="269"/>
      <c r="AL41" s="269"/>
      <c r="AM41" s="270"/>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97"/>
      <c r="C42" s="297"/>
      <c r="D42" s="298"/>
      <c r="E42" s="290"/>
      <c r="F42" s="291"/>
      <c r="G42" s="291"/>
      <c r="H42" s="291"/>
      <c r="I42" s="292"/>
      <c r="J42" s="250" t="str">
        <f>IF(AND('Mapa final'!$H$31="Muy Baja",'Mapa final'!$L$31="Leve"),CONCATENATE("R",'Mapa final'!$A$31),"")</f>
        <v/>
      </c>
      <c r="K42" s="251"/>
      <c r="L42" s="251" t="str">
        <f>IF(AND('Mapa final'!$H$37="Muy Baja",'Mapa final'!$L$37="Leve"),CONCATENATE("R",'Mapa final'!$A$37),"")</f>
        <v/>
      </c>
      <c r="M42" s="251"/>
      <c r="N42" s="251" t="str">
        <f>IF(AND('Mapa final'!$H$43="Muy Baja",'Mapa final'!$L$43="Leve"),CONCATENATE("R",'Mapa final'!$A$43),"")</f>
        <v/>
      </c>
      <c r="O42" s="252"/>
      <c r="P42" s="250" t="str">
        <f>IF(AND('Mapa final'!$H$31="Muy Baja",'Mapa final'!$L$31="Menor"),CONCATENATE("R",'Mapa final'!$A$31),"")</f>
        <v/>
      </c>
      <c r="Q42" s="251"/>
      <c r="R42" s="251" t="str">
        <f>IF(AND('Mapa final'!$H$37="Muy Baja",'Mapa final'!$L$37="Menor"),CONCATENATE("R",'Mapa final'!$A$37),"")</f>
        <v/>
      </c>
      <c r="S42" s="251"/>
      <c r="T42" s="251" t="str">
        <f>IF(AND('Mapa final'!$H$43="Muy Baja",'Mapa final'!$L$43="Menor"),CONCATENATE("R",'Mapa final'!$A$43),"")</f>
        <v/>
      </c>
      <c r="U42" s="252"/>
      <c r="V42" s="259" t="str">
        <f>IF(AND('Mapa final'!$H$31="Muy Baja",'Mapa final'!$L$31="Moderado"),CONCATENATE("R",'Mapa final'!$A$31),"")</f>
        <v/>
      </c>
      <c r="W42" s="260"/>
      <c r="X42" s="260" t="str">
        <f>IF(AND('Mapa final'!$H$37="Muy Baja",'Mapa final'!$L$37="Moderado"),CONCATENATE("R",'Mapa final'!$A$37),"")</f>
        <v/>
      </c>
      <c r="Y42" s="260"/>
      <c r="Z42" s="260" t="str">
        <f>IF(AND('Mapa final'!$H$43="Muy Baja",'Mapa final'!$L$43="Moderado"),CONCATENATE("R",'Mapa final'!$A$43),"")</f>
        <v/>
      </c>
      <c r="AA42" s="261"/>
      <c r="AB42" s="277" t="str">
        <f>IF(AND('Mapa final'!$H$31="Muy Baja",'Mapa final'!$L$31="Mayor"),CONCATENATE("R",'Mapa final'!$A$31),"")</f>
        <v/>
      </c>
      <c r="AC42" s="278"/>
      <c r="AD42" s="278" t="str">
        <f>IF(AND('Mapa final'!$H$37="Muy Baja",'Mapa final'!$L$37="Mayor"),CONCATENATE("R",'Mapa final'!$A$37),"")</f>
        <v/>
      </c>
      <c r="AE42" s="278"/>
      <c r="AF42" s="278" t="str">
        <f>IF(AND('Mapa final'!$H$43="Muy Baja",'Mapa final'!$L$43="Mayor"),CONCATENATE("R",'Mapa final'!$A$43),"")</f>
        <v/>
      </c>
      <c r="AG42" s="279"/>
      <c r="AH42" s="268" t="str">
        <f>IF(AND('Mapa final'!$H$31="Muy Baja",'Mapa final'!$L$31="Catastrófico"),CONCATENATE("R",'Mapa final'!$A$31),"")</f>
        <v/>
      </c>
      <c r="AI42" s="269"/>
      <c r="AJ42" s="269" t="str">
        <f>IF(AND('Mapa final'!$H$37="Muy Baja",'Mapa final'!$L$37="Catastrófico"),CONCATENATE("R",'Mapa final'!$A$37),"")</f>
        <v/>
      </c>
      <c r="AK42" s="269"/>
      <c r="AL42" s="269" t="str">
        <f>IF(AND('Mapa final'!$H$43="Muy Baja",'Mapa final'!$L$43="Catastrófico"),CONCATENATE("R",'Mapa final'!$A$43),"")</f>
        <v/>
      </c>
      <c r="AM42" s="270"/>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97"/>
      <c r="C43" s="297"/>
      <c r="D43" s="298"/>
      <c r="E43" s="290"/>
      <c r="F43" s="291"/>
      <c r="G43" s="291"/>
      <c r="H43" s="291"/>
      <c r="I43" s="292"/>
      <c r="J43" s="250"/>
      <c r="K43" s="251"/>
      <c r="L43" s="251"/>
      <c r="M43" s="251"/>
      <c r="N43" s="251"/>
      <c r="O43" s="252"/>
      <c r="P43" s="250"/>
      <c r="Q43" s="251"/>
      <c r="R43" s="251"/>
      <c r="S43" s="251"/>
      <c r="T43" s="251"/>
      <c r="U43" s="252"/>
      <c r="V43" s="259"/>
      <c r="W43" s="260"/>
      <c r="X43" s="260"/>
      <c r="Y43" s="260"/>
      <c r="Z43" s="260"/>
      <c r="AA43" s="261"/>
      <c r="AB43" s="277"/>
      <c r="AC43" s="278"/>
      <c r="AD43" s="278"/>
      <c r="AE43" s="278"/>
      <c r="AF43" s="278"/>
      <c r="AG43" s="279"/>
      <c r="AH43" s="268"/>
      <c r="AI43" s="269"/>
      <c r="AJ43" s="269"/>
      <c r="AK43" s="269"/>
      <c r="AL43" s="269"/>
      <c r="AM43" s="270"/>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97"/>
      <c r="C44" s="297"/>
      <c r="D44" s="298"/>
      <c r="E44" s="290"/>
      <c r="F44" s="291"/>
      <c r="G44" s="291"/>
      <c r="H44" s="291"/>
      <c r="I44" s="292"/>
      <c r="J44" s="250" t="str">
        <f>IF(AND('Mapa final'!$H$49="Muy Baja",'Mapa final'!$L$49="Leve"),CONCATENATE("R",'Mapa final'!$A$49),"")</f>
        <v/>
      </c>
      <c r="K44" s="251"/>
      <c r="L44" s="251" t="str">
        <f>IF(AND('Mapa final'!$H$55="Muy Baja",'Mapa final'!$L$55="Leve"),CONCATENATE("R",'Mapa final'!$A$55),"")</f>
        <v/>
      </c>
      <c r="M44" s="251"/>
      <c r="N44" s="251" t="str">
        <f>IF(AND('Mapa final'!$H$61="Muy Baja",'Mapa final'!$L$61="Leve"),CONCATENATE("R",'Mapa final'!$A$61),"")</f>
        <v/>
      </c>
      <c r="O44" s="252"/>
      <c r="P44" s="250" t="str">
        <f>IF(AND('Mapa final'!$H$49="Muy Baja",'Mapa final'!$L$49="Menor"),CONCATENATE("R",'Mapa final'!$A$49),"")</f>
        <v/>
      </c>
      <c r="Q44" s="251"/>
      <c r="R44" s="251" t="str">
        <f>IF(AND('Mapa final'!$H$55="Muy Baja",'Mapa final'!$L$55="Menor"),CONCATENATE("R",'Mapa final'!$A$55),"")</f>
        <v/>
      </c>
      <c r="S44" s="251"/>
      <c r="T44" s="251" t="str">
        <f>IF(AND('Mapa final'!$H$61="Muy Baja",'Mapa final'!$L$61="Menor"),CONCATENATE("R",'Mapa final'!$A$61),"")</f>
        <v/>
      </c>
      <c r="U44" s="252"/>
      <c r="V44" s="259" t="str">
        <f>IF(AND('Mapa final'!$H$49="Muy Baja",'Mapa final'!$L$49="Moderado"),CONCATENATE("R",'Mapa final'!$A$49),"")</f>
        <v/>
      </c>
      <c r="W44" s="260"/>
      <c r="X44" s="260" t="str">
        <f>IF(AND('Mapa final'!$H$55="Muy Baja",'Mapa final'!$L$55="Moderado"),CONCATENATE("R",'Mapa final'!$A$55),"")</f>
        <v/>
      </c>
      <c r="Y44" s="260"/>
      <c r="Z44" s="260" t="str">
        <f>IF(AND('Mapa final'!$H$61="Muy Baja",'Mapa final'!$L$61="Moderado"),CONCATENATE("R",'Mapa final'!$A$61),"")</f>
        <v/>
      </c>
      <c r="AA44" s="261"/>
      <c r="AB44" s="277" t="str">
        <f>IF(AND('Mapa final'!$H$49="Muy Baja",'Mapa final'!$L$49="Mayor"),CONCATENATE("R",'Mapa final'!$A$49),"")</f>
        <v/>
      </c>
      <c r="AC44" s="278"/>
      <c r="AD44" s="278" t="str">
        <f>IF(AND('Mapa final'!$H$55="Muy Baja",'Mapa final'!$L$55="Mayor"),CONCATENATE("R",'Mapa final'!$A$55),"")</f>
        <v/>
      </c>
      <c r="AE44" s="278"/>
      <c r="AF44" s="278" t="str">
        <f>IF(AND('Mapa final'!$H$61="Muy Baja",'Mapa final'!$L$61="Mayor"),CONCATENATE("R",'Mapa final'!$A$61),"")</f>
        <v/>
      </c>
      <c r="AG44" s="279"/>
      <c r="AH44" s="268" t="str">
        <f>IF(AND('Mapa final'!$H$49="Muy Baja",'Mapa final'!$L$49="Catastrófico"),CONCATENATE("R",'Mapa final'!$A$49),"")</f>
        <v/>
      </c>
      <c r="AI44" s="269"/>
      <c r="AJ44" s="269" t="str">
        <f>IF(AND('Mapa final'!$H$55="Muy Baja",'Mapa final'!$L$55="Catastrófico"),CONCATENATE("R",'Mapa final'!$A$55),"")</f>
        <v/>
      </c>
      <c r="AK44" s="269"/>
      <c r="AL44" s="269" t="str">
        <f>IF(AND('Mapa final'!$H$61="Muy Baja",'Mapa final'!$L$61="Catastrófico"),CONCATENATE("R",'Mapa final'!$A$61),"")</f>
        <v/>
      </c>
      <c r="AM44" s="270"/>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97"/>
      <c r="C45" s="297"/>
      <c r="D45" s="298"/>
      <c r="E45" s="293"/>
      <c r="F45" s="294"/>
      <c r="G45" s="294"/>
      <c r="H45" s="294"/>
      <c r="I45" s="295"/>
      <c r="J45" s="253"/>
      <c r="K45" s="254"/>
      <c r="L45" s="254"/>
      <c r="M45" s="254"/>
      <c r="N45" s="254"/>
      <c r="O45" s="255"/>
      <c r="P45" s="253"/>
      <c r="Q45" s="254"/>
      <c r="R45" s="254"/>
      <c r="S45" s="254"/>
      <c r="T45" s="254"/>
      <c r="U45" s="255"/>
      <c r="V45" s="262"/>
      <c r="W45" s="263"/>
      <c r="X45" s="263"/>
      <c r="Y45" s="263"/>
      <c r="Z45" s="263"/>
      <c r="AA45" s="264"/>
      <c r="AB45" s="280"/>
      <c r="AC45" s="281"/>
      <c r="AD45" s="281"/>
      <c r="AE45" s="281"/>
      <c r="AF45" s="281"/>
      <c r="AG45" s="282"/>
      <c r="AH45" s="271"/>
      <c r="AI45" s="272"/>
      <c r="AJ45" s="272"/>
      <c r="AK45" s="272"/>
      <c r="AL45" s="272"/>
      <c r="AM45" s="27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87" t="s">
        <v>112</v>
      </c>
      <c r="K46" s="288"/>
      <c r="L46" s="288"/>
      <c r="M46" s="288"/>
      <c r="N46" s="288"/>
      <c r="O46" s="289"/>
      <c r="P46" s="287" t="s">
        <v>111</v>
      </c>
      <c r="Q46" s="288"/>
      <c r="R46" s="288"/>
      <c r="S46" s="288"/>
      <c r="T46" s="288"/>
      <c r="U46" s="289"/>
      <c r="V46" s="287" t="s">
        <v>110</v>
      </c>
      <c r="W46" s="288"/>
      <c r="X46" s="288"/>
      <c r="Y46" s="288"/>
      <c r="Z46" s="288"/>
      <c r="AA46" s="289"/>
      <c r="AB46" s="287" t="s">
        <v>109</v>
      </c>
      <c r="AC46" s="296"/>
      <c r="AD46" s="288"/>
      <c r="AE46" s="288"/>
      <c r="AF46" s="288"/>
      <c r="AG46" s="289"/>
      <c r="AH46" s="287" t="s">
        <v>108</v>
      </c>
      <c r="AI46" s="288"/>
      <c r="AJ46" s="288"/>
      <c r="AK46" s="288"/>
      <c r="AL46" s="288"/>
      <c r="AM46" s="289"/>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90"/>
      <c r="K47" s="291"/>
      <c r="L47" s="291"/>
      <c r="M47" s="291"/>
      <c r="N47" s="291"/>
      <c r="O47" s="292"/>
      <c r="P47" s="290"/>
      <c r="Q47" s="291"/>
      <c r="R47" s="291"/>
      <c r="S47" s="291"/>
      <c r="T47" s="291"/>
      <c r="U47" s="292"/>
      <c r="V47" s="290"/>
      <c r="W47" s="291"/>
      <c r="X47" s="291"/>
      <c r="Y47" s="291"/>
      <c r="Z47" s="291"/>
      <c r="AA47" s="292"/>
      <c r="AB47" s="290"/>
      <c r="AC47" s="291"/>
      <c r="AD47" s="291"/>
      <c r="AE47" s="291"/>
      <c r="AF47" s="291"/>
      <c r="AG47" s="292"/>
      <c r="AH47" s="290"/>
      <c r="AI47" s="291"/>
      <c r="AJ47" s="291"/>
      <c r="AK47" s="291"/>
      <c r="AL47" s="291"/>
      <c r="AM47" s="292"/>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90"/>
      <c r="K48" s="291"/>
      <c r="L48" s="291"/>
      <c r="M48" s="291"/>
      <c r="N48" s="291"/>
      <c r="O48" s="292"/>
      <c r="P48" s="290"/>
      <c r="Q48" s="291"/>
      <c r="R48" s="291"/>
      <c r="S48" s="291"/>
      <c r="T48" s="291"/>
      <c r="U48" s="292"/>
      <c r="V48" s="290"/>
      <c r="W48" s="291"/>
      <c r="X48" s="291"/>
      <c r="Y48" s="291"/>
      <c r="Z48" s="291"/>
      <c r="AA48" s="292"/>
      <c r="AB48" s="290"/>
      <c r="AC48" s="291"/>
      <c r="AD48" s="291"/>
      <c r="AE48" s="291"/>
      <c r="AF48" s="291"/>
      <c r="AG48" s="292"/>
      <c r="AH48" s="290"/>
      <c r="AI48" s="291"/>
      <c r="AJ48" s="291"/>
      <c r="AK48" s="291"/>
      <c r="AL48" s="291"/>
      <c r="AM48" s="292"/>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90"/>
      <c r="K49" s="291"/>
      <c r="L49" s="291"/>
      <c r="M49" s="291"/>
      <c r="N49" s="291"/>
      <c r="O49" s="292"/>
      <c r="P49" s="290"/>
      <c r="Q49" s="291"/>
      <c r="R49" s="291"/>
      <c r="S49" s="291"/>
      <c r="T49" s="291"/>
      <c r="U49" s="292"/>
      <c r="V49" s="290"/>
      <c r="W49" s="291"/>
      <c r="X49" s="291"/>
      <c r="Y49" s="291"/>
      <c r="Z49" s="291"/>
      <c r="AA49" s="292"/>
      <c r="AB49" s="290"/>
      <c r="AC49" s="291"/>
      <c r="AD49" s="291"/>
      <c r="AE49" s="291"/>
      <c r="AF49" s="291"/>
      <c r="AG49" s="292"/>
      <c r="AH49" s="290"/>
      <c r="AI49" s="291"/>
      <c r="AJ49" s="291"/>
      <c r="AK49" s="291"/>
      <c r="AL49" s="291"/>
      <c r="AM49" s="292"/>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90"/>
      <c r="K50" s="291"/>
      <c r="L50" s="291"/>
      <c r="M50" s="291"/>
      <c r="N50" s="291"/>
      <c r="O50" s="292"/>
      <c r="P50" s="290"/>
      <c r="Q50" s="291"/>
      <c r="R50" s="291"/>
      <c r="S50" s="291"/>
      <c r="T50" s="291"/>
      <c r="U50" s="292"/>
      <c r="V50" s="290"/>
      <c r="W50" s="291"/>
      <c r="X50" s="291"/>
      <c r="Y50" s="291"/>
      <c r="Z50" s="291"/>
      <c r="AA50" s="292"/>
      <c r="AB50" s="290"/>
      <c r="AC50" s="291"/>
      <c r="AD50" s="291"/>
      <c r="AE50" s="291"/>
      <c r="AF50" s="291"/>
      <c r="AG50" s="292"/>
      <c r="AH50" s="290"/>
      <c r="AI50" s="291"/>
      <c r="AJ50" s="291"/>
      <c r="AK50" s="291"/>
      <c r="AL50" s="291"/>
      <c r="AM50" s="29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93"/>
      <c r="K51" s="294"/>
      <c r="L51" s="294"/>
      <c r="M51" s="294"/>
      <c r="N51" s="294"/>
      <c r="O51" s="295"/>
      <c r="P51" s="293"/>
      <c r="Q51" s="294"/>
      <c r="R51" s="294"/>
      <c r="S51" s="294"/>
      <c r="T51" s="294"/>
      <c r="U51" s="295"/>
      <c r="V51" s="293"/>
      <c r="W51" s="294"/>
      <c r="X51" s="294"/>
      <c r="Y51" s="294"/>
      <c r="Z51" s="294"/>
      <c r="AA51" s="295"/>
      <c r="AB51" s="293"/>
      <c r="AC51" s="294"/>
      <c r="AD51" s="294"/>
      <c r="AE51" s="294"/>
      <c r="AF51" s="294"/>
      <c r="AG51" s="295"/>
      <c r="AH51" s="293"/>
      <c r="AI51" s="294"/>
      <c r="AJ51" s="294"/>
      <c r="AK51" s="294"/>
      <c r="AL51" s="294"/>
      <c r="AM51" s="295"/>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S34" sqref="S34"/>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64" t="s">
        <v>160</v>
      </c>
      <c r="C2" s="365"/>
      <c r="D2" s="365"/>
      <c r="E2" s="365"/>
      <c r="F2" s="365"/>
      <c r="G2" s="365"/>
      <c r="H2" s="365"/>
      <c r="I2" s="365"/>
      <c r="J2" s="286" t="s">
        <v>2</v>
      </c>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86"/>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65"/>
      <c r="C3" s="365"/>
      <c r="D3" s="365"/>
      <c r="E3" s="365"/>
      <c r="F3" s="365"/>
      <c r="G3" s="365"/>
      <c r="H3" s="365"/>
      <c r="I3" s="365"/>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65"/>
      <c r="C4" s="365"/>
      <c r="D4" s="365"/>
      <c r="E4" s="365"/>
      <c r="F4" s="365"/>
      <c r="G4" s="365"/>
      <c r="H4" s="365"/>
      <c r="I4" s="365"/>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97" t="s">
        <v>4</v>
      </c>
      <c r="C6" s="297"/>
      <c r="D6" s="298"/>
      <c r="E6" s="335" t="s">
        <v>116</v>
      </c>
      <c r="F6" s="336"/>
      <c r="G6" s="336"/>
      <c r="H6" s="336"/>
      <c r="I6" s="337"/>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3"/>
      <c r="AO6" s="355" t="s">
        <v>79</v>
      </c>
      <c r="AP6" s="356"/>
      <c r="AQ6" s="356"/>
      <c r="AR6" s="356"/>
      <c r="AS6" s="356"/>
      <c r="AT6" s="357"/>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97"/>
      <c r="C7" s="297"/>
      <c r="D7" s="298"/>
      <c r="E7" s="338"/>
      <c r="F7" s="339"/>
      <c r="G7" s="339"/>
      <c r="H7" s="339"/>
      <c r="I7" s="340"/>
      <c r="J7" s="52" t="str">
        <f>IF(AND('Mapa final'!$Y$11="Muy Alta",'Mapa final'!$AA$11="Leve"),CONCATENATE("R2C",'Mapa final'!$O$11),"")</f>
        <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str">
        <f>IF(AND('Mapa final'!$Y$11="Muy Alta",'Mapa final'!$AA$11="Menor"),CONCATENATE("R2C",'Mapa final'!$O$11),"")</f>
        <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str">
        <f>IF(AND('Mapa final'!$Y$11="Muy Alta",'Mapa final'!$AA$11="Moderado"),CONCATENATE("R2C",'Mapa final'!$O$11),"")</f>
        <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str">
        <f>IF(AND('Mapa final'!$Y$11="Muy Alta",'Mapa final'!$AA$11="Mayor"),CONCATENATE("R2C",'Mapa final'!$O$11),"")</f>
        <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str">
        <f>IF(AND('Mapa final'!$Y$11="Muy Alta",'Mapa final'!$AA$11="Catastrófico"),CONCATENATE("R2C",'Mapa final'!$O$11),"")</f>
        <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3"/>
      <c r="AO7" s="358"/>
      <c r="AP7" s="359"/>
      <c r="AQ7" s="359"/>
      <c r="AR7" s="359"/>
      <c r="AS7" s="359"/>
      <c r="AT7" s="360"/>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97"/>
      <c r="C8" s="297"/>
      <c r="D8" s="298"/>
      <c r="E8" s="338"/>
      <c r="F8" s="339"/>
      <c r="G8" s="339"/>
      <c r="H8" s="339"/>
      <c r="I8" s="340"/>
      <c r="J8" s="52" t="str">
        <f>IF(AND('Mapa final'!$Y$12="Muy Alta",'Mapa final'!$AA$12="Leve"),CONCATENATE("R3C",'Mapa final'!$O$12),"")</f>
        <v/>
      </c>
      <c r="K8" s="53" t="e">
        <f>IF(AND('Mapa final'!#REF!="Muy Alta",'Mapa final'!#REF!="Leve"),CONCATENATE("R3C",'Mapa final'!#REF!),"")</f>
        <v>#REF!</v>
      </c>
      <c r="L8" s="53" t="e">
        <f>IF(AND('Mapa final'!#REF!="Muy Alta",'Mapa final'!#REF!="Leve"),CONCATENATE("R3C",'Mapa final'!#REF!),"")</f>
        <v>#REF!</v>
      </c>
      <c r="M8" s="53" t="e">
        <f>IF(AND('Mapa final'!#REF!="Muy Alta",'Mapa final'!#REF!="Leve"),CONCATENATE("R3C",'Mapa final'!#REF!),"")</f>
        <v>#REF!</v>
      </c>
      <c r="N8" s="53" t="e">
        <f>IF(AND('Mapa final'!#REF!="Muy Alta",'Mapa final'!#REF!="Leve"),CONCATENATE("R3C",'Mapa final'!#REF!),"")</f>
        <v>#REF!</v>
      </c>
      <c r="O8" s="54" t="e">
        <f>IF(AND('Mapa final'!#REF!="Muy Alta",'Mapa final'!#REF!="Leve"),CONCATENATE("R3C",'Mapa final'!#REF!),"")</f>
        <v>#REF!</v>
      </c>
      <c r="P8" s="52" t="str">
        <f>IF(AND('Mapa final'!$Y$12="Muy Alta",'Mapa final'!$AA$12="Menor"),CONCATENATE("R3C",'Mapa final'!$O$12),"")</f>
        <v/>
      </c>
      <c r="Q8" s="53" t="e">
        <f>IF(AND('Mapa final'!#REF!="Muy Alta",'Mapa final'!#REF!="Menor"),CONCATENATE("R3C",'Mapa final'!#REF!),"")</f>
        <v>#REF!</v>
      </c>
      <c r="R8" s="53" t="e">
        <f>IF(AND('Mapa final'!#REF!="Muy Alta",'Mapa final'!#REF!="Menor"),CONCATENATE("R3C",'Mapa final'!#REF!),"")</f>
        <v>#REF!</v>
      </c>
      <c r="S8" s="53" t="e">
        <f>IF(AND('Mapa final'!#REF!="Muy Alta",'Mapa final'!#REF!="Menor"),CONCATENATE("R3C",'Mapa final'!#REF!),"")</f>
        <v>#REF!</v>
      </c>
      <c r="T8" s="53" t="e">
        <f>IF(AND('Mapa final'!#REF!="Muy Alta",'Mapa final'!#REF!="Menor"),CONCATENATE("R3C",'Mapa final'!#REF!),"")</f>
        <v>#REF!</v>
      </c>
      <c r="U8" s="54" t="e">
        <f>IF(AND('Mapa final'!#REF!="Muy Alta",'Mapa final'!#REF!="Menor"),CONCATENATE("R3C",'Mapa final'!#REF!),"")</f>
        <v>#REF!</v>
      </c>
      <c r="V8" s="52" t="str">
        <f>IF(AND('Mapa final'!$Y$12="Muy Alta",'Mapa final'!$AA$12="Moderado"),CONCATENATE("R3C",'Mapa final'!$O$12),"")</f>
        <v/>
      </c>
      <c r="W8" s="53" t="e">
        <f>IF(AND('Mapa final'!#REF!="Muy Alta",'Mapa final'!#REF!="Moderado"),CONCATENATE("R3C",'Mapa final'!#REF!),"")</f>
        <v>#REF!</v>
      </c>
      <c r="X8" s="53" t="e">
        <f>IF(AND('Mapa final'!#REF!="Muy Alta",'Mapa final'!#REF!="Moderado"),CONCATENATE("R3C",'Mapa final'!#REF!),"")</f>
        <v>#REF!</v>
      </c>
      <c r="Y8" s="53" t="e">
        <f>IF(AND('Mapa final'!#REF!="Muy Alta",'Mapa final'!#REF!="Moderado"),CONCATENATE("R3C",'Mapa final'!#REF!),"")</f>
        <v>#REF!</v>
      </c>
      <c r="Z8" s="53" t="e">
        <f>IF(AND('Mapa final'!#REF!="Muy Alta",'Mapa final'!#REF!="Moderado"),CONCATENATE("R3C",'Mapa final'!#REF!),"")</f>
        <v>#REF!</v>
      </c>
      <c r="AA8" s="54" t="e">
        <f>IF(AND('Mapa final'!#REF!="Muy Alta",'Mapa final'!#REF!="Moderado"),CONCATENATE("R3C",'Mapa final'!#REF!),"")</f>
        <v>#REF!</v>
      </c>
      <c r="AB8" s="52" t="str">
        <f>IF(AND('Mapa final'!$Y$12="Muy Alta",'Mapa final'!$AA$12="Mayor"),CONCATENATE("R3C",'Mapa final'!$O$12),"")</f>
        <v/>
      </c>
      <c r="AC8" s="53" t="e">
        <f>IF(AND('Mapa final'!#REF!="Muy Alta",'Mapa final'!#REF!="Mayor"),CONCATENATE("R3C",'Mapa final'!#REF!),"")</f>
        <v>#REF!</v>
      </c>
      <c r="AD8" s="53" t="e">
        <f>IF(AND('Mapa final'!#REF!="Muy Alta",'Mapa final'!#REF!="Mayor"),CONCATENATE("R3C",'Mapa final'!#REF!),"")</f>
        <v>#REF!</v>
      </c>
      <c r="AE8" s="53" t="e">
        <f>IF(AND('Mapa final'!#REF!="Muy Alta",'Mapa final'!#REF!="Mayor"),CONCATENATE("R3C",'Mapa final'!#REF!),"")</f>
        <v>#REF!</v>
      </c>
      <c r="AF8" s="53" t="e">
        <f>IF(AND('Mapa final'!#REF!="Muy Alta",'Mapa final'!#REF!="Mayor"),CONCATENATE("R3C",'Mapa final'!#REF!),"")</f>
        <v>#REF!</v>
      </c>
      <c r="AG8" s="54" t="e">
        <f>IF(AND('Mapa final'!#REF!="Muy Alta",'Mapa final'!#REF!="Mayor"),CONCATENATE("R3C",'Mapa final'!#REF!),"")</f>
        <v>#REF!</v>
      </c>
      <c r="AH8" s="55" t="str">
        <f>IF(AND('Mapa final'!$Y$12="Muy Alta",'Mapa final'!$AA$12="Catastrófico"),CONCATENATE("R3C",'Mapa final'!$O$12),"")</f>
        <v/>
      </c>
      <c r="AI8" s="56" t="e">
        <f>IF(AND('Mapa final'!#REF!="Muy Alta",'Mapa final'!#REF!="Catastrófico"),CONCATENATE("R3C",'Mapa final'!#REF!),"")</f>
        <v>#REF!</v>
      </c>
      <c r="AJ8" s="56" t="e">
        <f>IF(AND('Mapa final'!#REF!="Muy Alta",'Mapa final'!#REF!="Catastrófico"),CONCATENATE("R3C",'Mapa final'!#REF!),"")</f>
        <v>#REF!</v>
      </c>
      <c r="AK8" s="56" t="e">
        <f>IF(AND('Mapa final'!#REF!="Muy Alta",'Mapa final'!#REF!="Catastrófico"),CONCATENATE("R3C",'Mapa final'!#REF!),"")</f>
        <v>#REF!</v>
      </c>
      <c r="AL8" s="56" t="e">
        <f>IF(AND('Mapa final'!#REF!="Muy Alta",'Mapa final'!#REF!="Catastrófico"),CONCATENATE("R3C",'Mapa final'!#REF!),"")</f>
        <v>#REF!</v>
      </c>
      <c r="AM8" s="57" t="e">
        <f>IF(AND('Mapa final'!#REF!="Muy Alta",'Mapa final'!#REF!="Catastrófico"),CONCATENATE("R3C",'Mapa final'!#REF!),"")</f>
        <v>#REF!</v>
      </c>
      <c r="AN8" s="83"/>
      <c r="AO8" s="358"/>
      <c r="AP8" s="359"/>
      <c r="AQ8" s="359"/>
      <c r="AR8" s="359"/>
      <c r="AS8" s="359"/>
      <c r="AT8" s="360"/>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97"/>
      <c r="C9" s="297"/>
      <c r="D9" s="298"/>
      <c r="E9" s="338"/>
      <c r="F9" s="339"/>
      <c r="G9" s="339"/>
      <c r="H9" s="339"/>
      <c r="I9" s="340"/>
      <c r="J9" s="52" t="str">
        <f>IF(AND('Mapa final'!$Y$13="Muy Alta",'Mapa final'!$AA$13="Leve"),CONCATENATE("R4C",'Mapa final'!$O$13),"")</f>
        <v/>
      </c>
      <c r="K9" s="53" t="str">
        <f>IF(AND('Mapa final'!$Y$14="Muy Alta",'Mapa final'!$AA$14="Leve"),CONCATENATE("R4C",'Mapa final'!$O$14),"")</f>
        <v/>
      </c>
      <c r="L9" s="53" t="str">
        <f>IF(AND('Mapa final'!$Y$15="Muy Alta",'Mapa final'!$AA$15="Leve"),CONCATENATE("R4C",'Mapa final'!$O$15),"")</f>
        <v/>
      </c>
      <c r="M9" s="53" t="str">
        <f>IF(AND('Mapa final'!$Y$16="Muy Alta",'Mapa final'!$AA$16="Leve"),CONCATENATE("R4C",'Mapa final'!$O$16),"")</f>
        <v/>
      </c>
      <c r="N9" s="53" t="str">
        <f>IF(AND('Mapa final'!$Y$17="Muy Alta",'Mapa final'!$AA$17="Leve"),CONCATENATE("R4C",'Mapa final'!$O$17),"")</f>
        <v/>
      </c>
      <c r="O9" s="54" t="str">
        <f>IF(AND('Mapa final'!$Y$18="Muy Alta",'Mapa final'!$AA$18="Leve"),CONCATENATE("R4C",'Mapa final'!$O$18),"")</f>
        <v/>
      </c>
      <c r="P9" s="52" t="str">
        <f>IF(AND('Mapa final'!$Y$13="Muy Alta",'Mapa final'!$AA$13="Menor"),CONCATENATE("R4C",'Mapa final'!$O$13),"")</f>
        <v/>
      </c>
      <c r="Q9" s="53" t="str">
        <f>IF(AND('Mapa final'!$Y$14="Muy Alta",'Mapa final'!$AA$14="Menor"),CONCATENATE("R4C",'Mapa final'!$O$14),"")</f>
        <v/>
      </c>
      <c r="R9" s="53" t="str">
        <f>IF(AND('Mapa final'!$Y$15="Muy Alta",'Mapa final'!$AA$15="Menor"),CONCATENATE("R4C",'Mapa final'!$O$15),"")</f>
        <v/>
      </c>
      <c r="S9" s="53" t="str">
        <f>IF(AND('Mapa final'!$Y$16="Muy Alta",'Mapa final'!$AA$16="Menor"),CONCATENATE("R4C",'Mapa final'!$O$16),"")</f>
        <v/>
      </c>
      <c r="T9" s="53" t="str">
        <f>IF(AND('Mapa final'!$Y$17="Muy Alta",'Mapa final'!$AA$17="Menor"),CONCATENATE("R4C",'Mapa final'!$O$17),"")</f>
        <v/>
      </c>
      <c r="U9" s="54" t="str">
        <f>IF(AND('Mapa final'!$Y$18="Muy Alta",'Mapa final'!$AA$18="Menor"),CONCATENATE("R4C",'Mapa final'!$O$18),"")</f>
        <v/>
      </c>
      <c r="V9" s="52" t="str">
        <f>IF(AND('Mapa final'!$Y$13="Muy Alta",'Mapa final'!$AA$13="Moderado"),CONCATENATE("R4C",'Mapa final'!$O$13),"")</f>
        <v/>
      </c>
      <c r="W9" s="53" t="str">
        <f>IF(AND('Mapa final'!$Y$14="Muy Alta",'Mapa final'!$AA$14="Moderado"),CONCATENATE("R4C",'Mapa final'!$O$14),"")</f>
        <v/>
      </c>
      <c r="X9" s="53" t="str">
        <f>IF(AND('Mapa final'!$Y$15="Muy Alta",'Mapa final'!$AA$15="Moderado"),CONCATENATE("R4C",'Mapa final'!$O$15),"")</f>
        <v/>
      </c>
      <c r="Y9" s="53" t="str">
        <f>IF(AND('Mapa final'!$Y$16="Muy Alta",'Mapa final'!$AA$16="Moderado"),CONCATENATE("R4C",'Mapa final'!$O$16),"")</f>
        <v/>
      </c>
      <c r="Z9" s="53" t="str">
        <f>IF(AND('Mapa final'!$Y$17="Muy Alta",'Mapa final'!$AA$17="Moderado"),CONCATENATE("R4C",'Mapa final'!$O$17),"")</f>
        <v/>
      </c>
      <c r="AA9" s="54" t="str">
        <f>IF(AND('Mapa final'!$Y$18="Muy Alta",'Mapa final'!$AA$18="Moderado"),CONCATENATE("R4C",'Mapa final'!$O$18),"")</f>
        <v/>
      </c>
      <c r="AB9" s="52" t="str">
        <f>IF(AND('Mapa final'!$Y$13="Muy Alta",'Mapa final'!$AA$13="Mayor"),CONCATENATE("R4C",'Mapa final'!$O$13),"")</f>
        <v/>
      </c>
      <c r="AC9" s="53" t="str">
        <f>IF(AND('Mapa final'!$Y$14="Muy Alta",'Mapa final'!$AA$14="Mayor"),CONCATENATE("R4C",'Mapa final'!$O$14),"")</f>
        <v/>
      </c>
      <c r="AD9" s="53" t="str">
        <f>IF(AND('Mapa final'!$Y$15="Muy Alta",'Mapa final'!$AA$15="Mayor"),CONCATENATE("R4C",'Mapa final'!$O$15),"")</f>
        <v/>
      </c>
      <c r="AE9" s="53" t="str">
        <f>IF(AND('Mapa final'!$Y$16="Muy Alta",'Mapa final'!$AA$16="Mayor"),CONCATENATE("R4C",'Mapa final'!$O$16),"")</f>
        <v/>
      </c>
      <c r="AF9" s="53" t="str">
        <f>IF(AND('Mapa final'!$Y$17="Muy Alta",'Mapa final'!$AA$17="Mayor"),CONCATENATE("R4C",'Mapa final'!$O$17),"")</f>
        <v/>
      </c>
      <c r="AG9" s="54" t="str">
        <f>IF(AND('Mapa final'!$Y$18="Muy Alta",'Mapa final'!$AA$18="Mayor"),CONCATENATE("R4C",'Mapa final'!$O$18),"")</f>
        <v/>
      </c>
      <c r="AH9" s="55" t="str">
        <f>IF(AND('Mapa final'!$Y$13="Muy Alta",'Mapa final'!$AA$13="Catastrófico"),CONCATENATE("R4C",'Mapa final'!$O$13),"")</f>
        <v/>
      </c>
      <c r="AI9" s="56" t="str">
        <f>IF(AND('Mapa final'!$Y$14="Muy Alta",'Mapa final'!$AA$14="Catastrófico"),CONCATENATE("R4C",'Mapa final'!$O$14),"")</f>
        <v/>
      </c>
      <c r="AJ9" s="56" t="str">
        <f>IF(AND('Mapa final'!$Y$15="Muy Alta",'Mapa final'!$AA$15="Catastrófico"),CONCATENATE("R4C",'Mapa final'!$O$15),"")</f>
        <v/>
      </c>
      <c r="AK9" s="56" t="str">
        <f>IF(AND('Mapa final'!$Y$16="Muy Alta",'Mapa final'!$AA$16="Catastrófico"),CONCATENATE("R4C",'Mapa final'!$O$16),"")</f>
        <v/>
      </c>
      <c r="AL9" s="56" t="str">
        <f>IF(AND('Mapa final'!$Y$17="Muy Alta",'Mapa final'!$AA$17="Catastrófico"),CONCATENATE("R4C",'Mapa final'!$O$17),"")</f>
        <v/>
      </c>
      <c r="AM9" s="57" t="str">
        <f>IF(AND('Mapa final'!$Y$18="Muy Alta",'Mapa final'!$AA$18="Catastrófico"),CONCATENATE("R4C",'Mapa final'!$O$18),"")</f>
        <v/>
      </c>
      <c r="AN9" s="83"/>
      <c r="AO9" s="358"/>
      <c r="AP9" s="359"/>
      <c r="AQ9" s="359"/>
      <c r="AR9" s="359"/>
      <c r="AS9" s="359"/>
      <c r="AT9" s="360"/>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97"/>
      <c r="C10" s="297"/>
      <c r="D10" s="298"/>
      <c r="E10" s="338"/>
      <c r="F10" s="339"/>
      <c r="G10" s="339"/>
      <c r="H10" s="339"/>
      <c r="I10" s="340"/>
      <c r="J10" s="52" t="str">
        <f>IF(AND('Mapa final'!$Y$19="Muy Alta",'Mapa final'!$AA$19="Leve"),CONCATENATE("R5C",'Mapa final'!$O$19),"")</f>
        <v/>
      </c>
      <c r="K10" s="53" t="str">
        <f>IF(AND('Mapa final'!$Y$20="Muy Alta",'Mapa final'!$AA$20="Leve"),CONCATENATE("R5C",'Mapa final'!$O$20),"")</f>
        <v/>
      </c>
      <c r="L10" s="53" t="str">
        <f>IF(AND('Mapa final'!$Y$21="Muy Alta",'Mapa final'!$AA$21="Leve"),CONCATENATE("R5C",'Mapa final'!$O$21),"")</f>
        <v/>
      </c>
      <c r="M10" s="53" t="str">
        <f>IF(AND('Mapa final'!$Y$22="Muy Alta",'Mapa final'!$AA$22="Leve"),CONCATENATE("R5C",'Mapa final'!$O$22),"")</f>
        <v/>
      </c>
      <c r="N10" s="53" t="str">
        <f>IF(AND('Mapa final'!$Y$23="Muy Alta",'Mapa final'!$AA$23="Leve"),CONCATENATE("R5C",'Mapa final'!$O$23),"")</f>
        <v/>
      </c>
      <c r="O10" s="54" t="str">
        <f>IF(AND('Mapa final'!$Y$24="Muy Alta",'Mapa final'!$AA$24="Leve"),CONCATENATE("R5C",'Mapa final'!$O$24),"")</f>
        <v/>
      </c>
      <c r="P10" s="52" t="str">
        <f>IF(AND('Mapa final'!$Y$19="Muy Alta",'Mapa final'!$AA$19="Menor"),CONCATENATE("R5C",'Mapa final'!$O$19),"")</f>
        <v/>
      </c>
      <c r="Q10" s="53" t="str">
        <f>IF(AND('Mapa final'!$Y$20="Muy Alta",'Mapa final'!$AA$20="Menor"),CONCATENATE("R5C",'Mapa final'!$O$20),"")</f>
        <v/>
      </c>
      <c r="R10" s="53" t="str">
        <f>IF(AND('Mapa final'!$Y$21="Muy Alta",'Mapa final'!$AA$21="Menor"),CONCATENATE("R5C",'Mapa final'!$O$21),"")</f>
        <v/>
      </c>
      <c r="S10" s="53" t="str">
        <f>IF(AND('Mapa final'!$Y$22="Muy Alta",'Mapa final'!$AA$22="Menor"),CONCATENATE("R5C",'Mapa final'!$O$22),"")</f>
        <v/>
      </c>
      <c r="T10" s="53" t="str">
        <f>IF(AND('Mapa final'!$Y$23="Muy Alta",'Mapa final'!$AA$23="Menor"),CONCATENATE("R5C",'Mapa final'!$O$23),"")</f>
        <v/>
      </c>
      <c r="U10" s="54" t="str">
        <f>IF(AND('Mapa final'!$Y$24="Muy Alta",'Mapa final'!$AA$24="Menor"),CONCATENATE("R5C",'Mapa final'!$O$24),"")</f>
        <v/>
      </c>
      <c r="V10" s="52" t="str">
        <f>IF(AND('Mapa final'!$Y$19="Muy Alta",'Mapa final'!$AA$19="Moderado"),CONCATENATE("R5C",'Mapa final'!$O$19),"")</f>
        <v/>
      </c>
      <c r="W10" s="53" t="str">
        <f>IF(AND('Mapa final'!$Y$20="Muy Alta",'Mapa final'!$AA$20="Moderado"),CONCATENATE("R5C",'Mapa final'!$O$20),"")</f>
        <v/>
      </c>
      <c r="X10" s="53" t="str">
        <f>IF(AND('Mapa final'!$Y$21="Muy Alta",'Mapa final'!$AA$21="Moderado"),CONCATENATE("R5C",'Mapa final'!$O$21),"")</f>
        <v/>
      </c>
      <c r="Y10" s="53" t="str">
        <f>IF(AND('Mapa final'!$Y$22="Muy Alta",'Mapa final'!$AA$22="Moderado"),CONCATENATE("R5C",'Mapa final'!$O$22),"")</f>
        <v/>
      </c>
      <c r="Z10" s="53" t="str">
        <f>IF(AND('Mapa final'!$Y$23="Muy Alta",'Mapa final'!$AA$23="Moderado"),CONCATENATE("R5C",'Mapa final'!$O$23),"")</f>
        <v/>
      </c>
      <c r="AA10" s="54" t="str">
        <f>IF(AND('Mapa final'!$Y$24="Muy Alta",'Mapa final'!$AA$24="Moderado"),CONCATENATE("R5C",'Mapa final'!$O$24),"")</f>
        <v/>
      </c>
      <c r="AB10" s="52" t="str">
        <f>IF(AND('Mapa final'!$Y$19="Muy Alta",'Mapa final'!$AA$19="Mayor"),CONCATENATE("R5C",'Mapa final'!$O$19),"")</f>
        <v/>
      </c>
      <c r="AC10" s="53" t="str">
        <f>IF(AND('Mapa final'!$Y$20="Muy Alta",'Mapa final'!$AA$20="Mayor"),CONCATENATE("R5C",'Mapa final'!$O$20),"")</f>
        <v/>
      </c>
      <c r="AD10" s="53" t="str">
        <f>IF(AND('Mapa final'!$Y$21="Muy Alta",'Mapa final'!$AA$21="Mayor"),CONCATENATE("R5C",'Mapa final'!$O$21),"")</f>
        <v/>
      </c>
      <c r="AE10" s="53" t="str">
        <f>IF(AND('Mapa final'!$Y$22="Muy Alta",'Mapa final'!$AA$22="Mayor"),CONCATENATE("R5C",'Mapa final'!$O$22),"")</f>
        <v/>
      </c>
      <c r="AF10" s="53" t="str">
        <f>IF(AND('Mapa final'!$Y$23="Muy Alta",'Mapa final'!$AA$23="Mayor"),CONCATENATE("R5C",'Mapa final'!$O$23),"")</f>
        <v/>
      </c>
      <c r="AG10" s="54" t="str">
        <f>IF(AND('Mapa final'!$Y$24="Muy Alta",'Mapa final'!$AA$24="Mayor"),CONCATENATE("R5C",'Mapa final'!$O$24),"")</f>
        <v/>
      </c>
      <c r="AH10" s="55" t="str">
        <f>IF(AND('Mapa final'!$Y$19="Muy Alta",'Mapa final'!$AA$19="Catastrófico"),CONCATENATE("R5C",'Mapa final'!$O$19),"")</f>
        <v/>
      </c>
      <c r="AI10" s="56" t="str">
        <f>IF(AND('Mapa final'!$Y$20="Muy Alta",'Mapa final'!$AA$20="Catastrófico"),CONCATENATE("R5C",'Mapa final'!$O$20),"")</f>
        <v/>
      </c>
      <c r="AJ10" s="56" t="str">
        <f>IF(AND('Mapa final'!$Y$21="Muy Alta",'Mapa final'!$AA$21="Catastrófico"),CONCATENATE("R5C",'Mapa final'!$O$21),"")</f>
        <v/>
      </c>
      <c r="AK10" s="56" t="str">
        <f>IF(AND('Mapa final'!$Y$22="Muy Alta",'Mapa final'!$AA$22="Catastrófico"),CONCATENATE("R5C",'Mapa final'!$O$22),"")</f>
        <v/>
      </c>
      <c r="AL10" s="56" t="str">
        <f>IF(AND('Mapa final'!$Y$23="Muy Alta",'Mapa final'!$AA$23="Catastrófico"),CONCATENATE("R5C",'Mapa final'!$O$23),"")</f>
        <v/>
      </c>
      <c r="AM10" s="57" t="str">
        <f>IF(AND('Mapa final'!$Y$24="Muy Alta",'Mapa final'!$AA$24="Catastrófico"),CONCATENATE("R5C",'Mapa final'!$O$24),"")</f>
        <v/>
      </c>
      <c r="AN10" s="83"/>
      <c r="AO10" s="358"/>
      <c r="AP10" s="359"/>
      <c r="AQ10" s="359"/>
      <c r="AR10" s="359"/>
      <c r="AS10" s="359"/>
      <c r="AT10" s="360"/>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97"/>
      <c r="C11" s="297"/>
      <c r="D11" s="298"/>
      <c r="E11" s="338"/>
      <c r="F11" s="339"/>
      <c r="G11" s="339"/>
      <c r="H11" s="339"/>
      <c r="I11" s="340"/>
      <c r="J11" s="52" t="str">
        <f>IF(AND('Mapa final'!$Y$25="Muy Alta",'Mapa final'!$AA$25="Leve"),CONCATENATE("R6C",'Mapa final'!$O$25),"")</f>
        <v/>
      </c>
      <c r="K11" s="53" t="str">
        <f>IF(AND('Mapa final'!$Y$26="Muy Alta",'Mapa final'!$AA$26="Leve"),CONCATENATE("R6C",'Mapa final'!$O$26),"")</f>
        <v/>
      </c>
      <c r="L11" s="53" t="str">
        <f>IF(AND('Mapa final'!$Y$27="Muy Alta",'Mapa final'!$AA$27="Leve"),CONCATENATE("R6C",'Mapa final'!$O$27),"")</f>
        <v/>
      </c>
      <c r="M11" s="53" t="str">
        <f>IF(AND('Mapa final'!$Y$28="Muy Alta",'Mapa final'!$AA$28="Leve"),CONCATENATE("R6C",'Mapa final'!$O$28),"")</f>
        <v/>
      </c>
      <c r="N11" s="53" t="str">
        <f>IF(AND('Mapa final'!$Y$29="Muy Alta",'Mapa final'!$AA$29="Leve"),CONCATENATE("R6C",'Mapa final'!$O$29),"")</f>
        <v/>
      </c>
      <c r="O11" s="54" t="str">
        <f>IF(AND('Mapa final'!$Y$30="Muy Alta",'Mapa final'!$AA$30="Leve"),CONCATENATE("R6C",'Mapa final'!$O$30),"")</f>
        <v/>
      </c>
      <c r="P11" s="52" t="str">
        <f>IF(AND('Mapa final'!$Y$25="Muy Alta",'Mapa final'!$AA$25="Menor"),CONCATENATE("R6C",'Mapa final'!$O$25),"")</f>
        <v/>
      </c>
      <c r="Q11" s="53" t="str">
        <f>IF(AND('Mapa final'!$Y$26="Muy Alta",'Mapa final'!$AA$26="Menor"),CONCATENATE("R6C",'Mapa final'!$O$26),"")</f>
        <v/>
      </c>
      <c r="R11" s="53" t="str">
        <f>IF(AND('Mapa final'!$Y$27="Muy Alta",'Mapa final'!$AA$27="Menor"),CONCATENATE("R6C",'Mapa final'!$O$27),"")</f>
        <v/>
      </c>
      <c r="S11" s="53" t="str">
        <f>IF(AND('Mapa final'!$Y$28="Muy Alta",'Mapa final'!$AA$28="Menor"),CONCATENATE("R6C",'Mapa final'!$O$28),"")</f>
        <v/>
      </c>
      <c r="T11" s="53" t="str">
        <f>IF(AND('Mapa final'!$Y$29="Muy Alta",'Mapa final'!$AA$29="Menor"),CONCATENATE("R6C",'Mapa final'!$O$29),"")</f>
        <v/>
      </c>
      <c r="U11" s="54" t="str">
        <f>IF(AND('Mapa final'!$Y$30="Muy Alta",'Mapa final'!$AA$30="Menor"),CONCATENATE("R6C",'Mapa final'!$O$30),"")</f>
        <v/>
      </c>
      <c r="V11" s="52" t="str">
        <f>IF(AND('Mapa final'!$Y$25="Muy Alta",'Mapa final'!$AA$25="Moderado"),CONCATENATE("R6C",'Mapa final'!$O$25),"")</f>
        <v/>
      </c>
      <c r="W11" s="53" t="str">
        <f>IF(AND('Mapa final'!$Y$26="Muy Alta",'Mapa final'!$AA$26="Moderado"),CONCATENATE("R6C",'Mapa final'!$O$26),"")</f>
        <v/>
      </c>
      <c r="X11" s="53" t="str">
        <f>IF(AND('Mapa final'!$Y$27="Muy Alta",'Mapa final'!$AA$27="Moderado"),CONCATENATE("R6C",'Mapa final'!$O$27),"")</f>
        <v/>
      </c>
      <c r="Y11" s="53" t="str">
        <f>IF(AND('Mapa final'!$Y$28="Muy Alta",'Mapa final'!$AA$28="Moderado"),CONCATENATE("R6C",'Mapa final'!$O$28),"")</f>
        <v/>
      </c>
      <c r="Z11" s="53" t="str">
        <f>IF(AND('Mapa final'!$Y$29="Muy Alta",'Mapa final'!$AA$29="Moderado"),CONCATENATE("R6C",'Mapa final'!$O$29),"")</f>
        <v/>
      </c>
      <c r="AA11" s="54" t="str">
        <f>IF(AND('Mapa final'!$Y$30="Muy Alta",'Mapa final'!$AA$30="Moderado"),CONCATENATE("R6C",'Mapa final'!$O$30),"")</f>
        <v/>
      </c>
      <c r="AB11" s="52" t="str">
        <f>IF(AND('Mapa final'!$Y$25="Muy Alta",'Mapa final'!$AA$25="Mayor"),CONCATENATE("R6C",'Mapa final'!$O$25),"")</f>
        <v/>
      </c>
      <c r="AC11" s="53" t="str">
        <f>IF(AND('Mapa final'!$Y$26="Muy Alta",'Mapa final'!$AA$26="Mayor"),CONCATENATE("R6C",'Mapa final'!$O$26),"")</f>
        <v/>
      </c>
      <c r="AD11" s="53" t="str">
        <f>IF(AND('Mapa final'!$Y$27="Muy Alta",'Mapa final'!$AA$27="Mayor"),CONCATENATE("R6C",'Mapa final'!$O$27),"")</f>
        <v/>
      </c>
      <c r="AE11" s="53" t="str">
        <f>IF(AND('Mapa final'!$Y$28="Muy Alta",'Mapa final'!$AA$28="Mayor"),CONCATENATE("R6C",'Mapa final'!$O$28),"")</f>
        <v/>
      </c>
      <c r="AF11" s="53" t="str">
        <f>IF(AND('Mapa final'!$Y$29="Muy Alta",'Mapa final'!$AA$29="Mayor"),CONCATENATE("R6C",'Mapa final'!$O$29),"")</f>
        <v/>
      </c>
      <c r="AG11" s="54" t="str">
        <f>IF(AND('Mapa final'!$Y$30="Muy Alta",'Mapa final'!$AA$30="Mayor"),CONCATENATE("R6C",'Mapa final'!$O$30),"")</f>
        <v/>
      </c>
      <c r="AH11" s="55" t="str">
        <f>IF(AND('Mapa final'!$Y$25="Muy Alta",'Mapa final'!$AA$25="Catastrófico"),CONCATENATE("R6C",'Mapa final'!$O$25),"")</f>
        <v/>
      </c>
      <c r="AI11" s="56" t="str">
        <f>IF(AND('Mapa final'!$Y$26="Muy Alta",'Mapa final'!$AA$26="Catastrófico"),CONCATENATE("R6C",'Mapa final'!$O$26),"")</f>
        <v/>
      </c>
      <c r="AJ11" s="56" t="str">
        <f>IF(AND('Mapa final'!$Y$27="Muy Alta",'Mapa final'!$AA$27="Catastrófico"),CONCATENATE("R6C",'Mapa final'!$O$27),"")</f>
        <v/>
      </c>
      <c r="AK11" s="56" t="str">
        <f>IF(AND('Mapa final'!$Y$28="Muy Alta",'Mapa final'!$AA$28="Catastrófico"),CONCATENATE("R6C",'Mapa final'!$O$28),"")</f>
        <v/>
      </c>
      <c r="AL11" s="56" t="str">
        <f>IF(AND('Mapa final'!$Y$29="Muy Alta",'Mapa final'!$AA$29="Catastrófico"),CONCATENATE("R6C",'Mapa final'!$O$29),"")</f>
        <v/>
      </c>
      <c r="AM11" s="57" t="str">
        <f>IF(AND('Mapa final'!$Y$30="Muy Alta",'Mapa final'!$AA$30="Catastrófico"),CONCATENATE("R6C",'Mapa final'!$O$30),"")</f>
        <v/>
      </c>
      <c r="AN11" s="83"/>
      <c r="AO11" s="358"/>
      <c r="AP11" s="359"/>
      <c r="AQ11" s="359"/>
      <c r="AR11" s="359"/>
      <c r="AS11" s="359"/>
      <c r="AT11" s="360"/>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97"/>
      <c r="C12" s="297"/>
      <c r="D12" s="298"/>
      <c r="E12" s="338"/>
      <c r="F12" s="339"/>
      <c r="G12" s="339"/>
      <c r="H12" s="339"/>
      <c r="I12" s="340"/>
      <c r="J12" s="52" t="str">
        <f>IF(AND('Mapa final'!$Y$31="Muy Alta",'Mapa final'!$AA$31="Leve"),CONCATENATE("R7C",'Mapa final'!$O$31),"")</f>
        <v/>
      </c>
      <c r="K12" s="53" t="str">
        <f>IF(AND('Mapa final'!$Y$32="Muy Alta",'Mapa final'!$AA$32="Leve"),CONCATENATE("R7C",'Mapa final'!$O$32),"")</f>
        <v/>
      </c>
      <c r="L12" s="53" t="str">
        <f>IF(AND('Mapa final'!$Y$33="Muy Alta",'Mapa final'!$AA$33="Leve"),CONCATENATE("R7C",'Mapa final'!$O$33),"")</f>
        <v/>
      </c>
      <c r="M12" s="53" t="str">
        <f>IF(AND('Mapa final'!$Y$34="Muy Alta",'Mapa final'!$AA$34="Leve"),CONCATENATE("R7C",'Mapa final'!$O$34),"")</f>
        <v/>
      </c>
      <c r="N12" s="53" t="str">
        <f>IF(AND('Mapa final'!$Y$35="Muy Alta",'Mapa final'!$AA$35="Leve"),CONCATENATE("R7C",'Mapa final'!$O$35),"")</f>
        <v/>
      </c>
      <c r="O12" s="54" t="str">
        <f>IF(AND('Mapa final'!$Y$36="Muy Alta",'Mapa final'!$AA$36="Leve"),CONCATENATE("R7C",'Mapa final'!$O$36),"")</f>
        <v/>
      </c>
      <c r="P12" s="52" t="str">
        <f>IF(AND('Mapa final'!$Y$31="Muy Alta",'Mapa final'!$AA$31="Menor"),CONCATENATE("R7C",'Mapa final'!$O$31),"")</f>
        <v/>
      </c>
      <c r="Q12" s="53" t="str">
        <f>IF(AND('Mapa final'!$Y$32="Muy Alta",'Mapa final'!$AA$32="Menor"),CONCATENATE("R7C",'Mapa final'!$O$32),"")</f>
        <v/>
      </c>
      <c r="R12" s="53" t="str">
        <f>IF(AND('Mapa final'!$Y$33="Muy Alta",'Mapa final'!$AA$33="Menor"),CONCATENATE("R7C",'Mapa final'!$O$33),"")</f>
        <v/>
      </c>
      <c r="S12" s="53" t="str">
        <f>IF(AND('Mapa final'!$Y$34="Muy Alta",'Mapa final'!$AA$34="Menor"),CONCATENATE("R7C",'Mapa final'!$O$34),"")</f>
        <v/>
      </c>
      <c r="T12" s="53" t="str">
        <f>IF(AND('Mapa final'!$Y$35="Muy Alta",'Mapa final'!$AA$35="Menor"),CONCATENATE("R7C",'Mapa final'!$O$35),"")</f>
        <v/>
      </c>
      <c r="U12" s="54" t="str">
        <f>IF(AND('Mapa final'!$Y$36="Muy Alta",'Mapa final'!$AA$36="Menor"),CONCATENATE("R7C",'Mapa final'!$O$36),"")</f>
        <v/>
      </c>
      <c r="V12" s="52" t="str">
        <f>IF(AND('Mapa final'!$Y$31="Muy Alta",'Mapa final'!$AA$31="Moderado"),CONCATENATE("R7C",'Mapa final'!$O$31),"")</f>
        <v/>
      </c>
      <c r="W12" s="53" t="str">
        <f>IF(AND('Mapa final'!$Y$32="Muy Alta",'Mapa final'!$AA$32="Moderado"),CONCATENATE("R7C",'Mapa final'!$O$32),"")</f>
        <v/>
      </c>
      <c r="X12" s="53" t="str">
        <f>IF(AND('Mapa final'!$Y$33="Muy Alta",'Mapa final'!$AA$33="Moderado"),CONCATENATE("R7C",'Mapa final'!$O$33),"")</f>
        <v/>
      </c>
      <c r="Y12" s="53" t="str">
        <f>IF(AND('Mapa final'!$Y$34="Muy Alta",'Mapa final'!$AA$34="Moderado"),CONCATENATE("R7C",'Mapa final'!$O$34),"")</f>
        <v/>
      </c>
      <c r="Z12" s="53" t="str">
        <f>IF(AND('Mapa final'!$Y$35="Muy Alta",'Mapa final'!$AA$35="Moderado"),CONCATENATE("R7C",'Mapa final'!$O$35),"")</f>
        <v/>
      </c>
      <c r="AA12" s="54" t="str">
        <f>IF(AND('Mapa final'!$Y$36="Muy Alta",'Mapa final'!$AA$36="Moderado"),CONCATENATE("R7C",'Mapa final'!$O$36),"")</f>
        <v/>
      </c>
      <c r="AB12" s="52" t="str">
        <f>IF(AND('Mapa final'!$Y$31="Muy Alta",'Mapa final'!$AA$31="Mayor"),CONCATENATE("R7C",'Mapa final'!$O$31),"")</f>
        <v/>
      </c>
      <c r="AC12" s="53" t="str">
        <f>IF(AND('Mapa final'!$Y$32="Muy Alta",'Mapa final'!$AA$32="Mayor"),CONCATENATE("R7C",'Mapa final'!$O$32),"")</f>
        <v/>
      </c>
      <c r="AD12" s="53" t="str">
        <f>IF(AND('Mapa final'!$Y$33="Muy Alta",'Mapa final'!$AA$33="Mayor"),CONCATENATE("R7C",'Mapa final'!$O$33),"")</f>
        <v/>
      </c>
      <c r="AE12" s="53" t="str">
        <f>IF(AND('Mapa final'!$Y$34="Muy Alta",'Mapa final'!$AA$34="Mayor"),CONCATENATE("R7C",'Mapa final'!$O$34),"")</f>
        <v/>
      </c>
      <c r="AF12" s="53" t="str">
        <f>IF(AND('Mapa final'!$Y$35="Muy Alta",'Mapa final'!$AA$35="Mayor"),CONCATENATE("R7C",'Mapa final'!$O$35),"")</f>
        <v/>
      </c>
      <c r="AG12" s="54" t="str">
        <f>IF(AND('Mapa final'!$Y$36="Muy Alta",'Mapa final'!$AA$36="Mayor"),CONCATENATE("R7C",'Mapa final'!$O$36),"")</f>
        <v/>
      </c>
      <c r="AH12" s="55" t="str">
        <f>IF(AND('Mapa final'!$Y$31="Muy Alta",'Mapa final'!$AA$31="Catastrófico"),CONCATENATE("R7C",'Mapa final'!$O$31),"")</f>
        <v/>
      </c>
      <c r="AI12" s="56" t="str">
        <f>IF(AND('Mapa final'!$Y$32="Muy Alta",'Mapa final'!$AA$32="Catastrófico"),CONCATENATE("R7C",'Mapa final'!$O$32),"")</f>
        <v/>
      </c>
      <c r="AJ12" s="56" t="str">
        <f>IF(AND('Mapa final'!$Y$33="Muy Alta",'Mapa final'!$AA$33="Catastrófico"),CONCATENATE("R7C",'Mapa final'!$O$33),"")</f>
        <v/>
      </c>
      <c r="AK12" s="56" t="str">
        <f>IF(AND('Mapa final'!$Y$34="Muy Alta",'Mapa final'!$AA$34="Catastrófico"),CONCATENATE("R7C",'Mapa final'!$O$34),"")</f>
        <v/>
      </c>
      <c r="AL12" s="56" t="str">
        <f>IF(AND('Mapa final'!$Y$35="Muy Alta",'Mapa final'!$AA$35="Catastrófico"),CONCATENATE("R7C",'Mapa final'!$O$35),"")</f>
        <v/>
      </c>
      <c r="AM12" s="57" t="str">
        <f>IF(AND('Mapa final'!$Y$36="Muy Alta",'Mapa final'!$AA$36="Catastrófico"),CONCATENATE("R7C",'Mapa final'!$O$36),"")</f>
        <v/>
      </c>
      <c r="AN12" s="83"/>
      <c r="AO12" s="358"/>
      <c r="AP12" s="359"/>
      <c r="AQ12" s="359"/>
      <c r="AR12" s="359"/>
      <c r="AS12" s="359"/>
      <c r="AT12" s="360"/>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97"/>
      <c r="C13" s="297"/>
      <c r="D13" s="298"/>
      <c r="E13" s="338"/>
      <c r="F13" s="339"/>
      <c r="G13" s="339"/>
      <c r="H13" s="339"/>
      <c r="I13" s="340"/>
      <c r="J13" s="52" t="str">
        <f>IF(AND('Mapa final'!$Y$37="Muy Alta",'Mapa final'!$AA$37="Leve"),CONCATENATE("R8C",'Mapa final'!$O$37),"")</f>
        <v/>
      </c>
      <c r="K13" s="53" t="str">
        <f>IF(AND('Mapa final'!$Y$38="Muy Alta",'Mapa final'!$AA$38="Leve"),CONCATENATE("R8C",'Mapa final'!$O$38),"")</f>
        <v/>
      </c>
      <c r="L13" s="53" t="str">
        <f>IF(AND('Mapa final'!$Y$39="Muy Alta",'Mapa final'!$AA$39="Leve"),CONCATENATE("R8C",'Mapa final'!$O$39),"")</f>
        <v/>
      </c>
      <c r="M13" s="53" t="str">
        <f>IF(AND('Mapa final'!$Y$40="Muy Alta",'Mapa final'!$AA$40="Leve"),CONCATENATE("R8C",'Mapa final'!$O$40),"")</f>
        <v/>
      </c>
      <c r="N13" s="53" t="str">
        <f>IF(AND('Mapa final'!$Y$41="Muy Alta",'Mapa final'!$AA$41="Leve"),CONCATENATE("R8C",'Mapa final'!$O$41),"")</f>
        <v/>
      </c>
      <c r="O13" s="54" t="str">
        <f>IF(AND('Mapa final'!$Y$42="Muy Alta",'Mapa final'!$AA$42="Leve"),CONCATENATE("R8C",'Mapa final'!$O$42),"")</f>
        <v/>
      </c>
      <c r="P13" s="52" t="str">
        <f>IF(AND('Mapa final'!$Y$37="Muy Alta",'Mapa final'!$AA$37="Menor"),CONCATENATE("R8C",'Mapa final'!$O$37),"")</f>
        <v/>
      </c>
      <c r="Q13" s="53" t="str">
        <f>IF(AND('Mapa final'!$Y$38="Muy Alta",'Mapa final'!$AA$38="Menor"),CONCATENATE("R8C",'Mapa final'!$O$38),"")</f>
        <v/>
      </c>
      <c r="R13" s="53" t="str">
        <f>IF(AND('Mapa final'!$Y$39="Muy Alta",'Mapa final'!$AA$39="Menor"),CONCATENATE("R8C",'Mapa final'!$O$39),"")</f>
        <v/>
      </c>
      <c r="S13" s="53" t="str">
        <f>IF(AND('Mapa final'!$Y$40="Muy Alta",'Mapa final'!$AA$40="Menor"),CONCATENATE("R8C",'Mapa final'!$O$40),"")</f>
        <v/>
      </c>
      <c r="T13" s="53" t="str">
        <f>IF(AND('Mapa final'!$Y$41="Muy Alta",'Mapa final'!$AA$41="Menor"),CONCATENATE("R8C",'Mapa final'!$O$41),"")</f>
        <v/>
      </c>
      <c r="U13" s="54" t="str">
        <f>IF(AND('Mapa final'!$Y$42="Muy Alta",'Mapa final'!$AA$42="Menor"),CONCATENATE("R8C",'Mapa final'!$O$42),"")</f>
        <v/>
      </c>
      <c r="V13" s="52" t="str">
        <f>IF(AND('Mapa final'!$Y$37="Muy Alta",'Mapa final'!$AA$37="Moderado"),CONCATENATE("R8C",'Mapa final'!$O$37),"")</f>
        <v/>
      </c>
      <c r="W13" s="53" t="str">
        <f>IF(AND('Mapa final'!$Y$38="Muy Alta",'Mapa final'!$AA$38="Moderado"),CONCATENATE("R8C",'Mapa final'!$O$38),"")</f>
        <v/>
      </c>
      <c r="X13" s="53" t="str">
        <f>IF(AND('Mapa final'!$Y$39="Muy Alta",'Mapa final'!$AA$39="Moderado"),CONCATENATE("R8C",'Mapa final'!$O$39),"")</f>
        <v/>
      </c>
      <c r="Y13" s="53" t="str">
        <f>IF(AND('Mapa final'!$Y$40="Muy Alta",'Mapa final'!$AA$40="Moderado"),CONCATENATE("R8C",'Mapa final'!$O$40),"")</f>
        <v/>
      </c>
      <c r="Z13" s="53" t="str">
        <f>IF(AND('Mapa final'!$Y$41="Muy Alta",'Mapa final'!$AA$41="Moderado"),CONCATENATE("R8C",'Mapa final'!$O$41),"")</f>
        <v/>
      </c>
      <c r="AA13" s="54" t="str">
        <f>IF(AND('Mapa final'!$Y$42="Muy Alta",'Mapa final'!$AA$42="Moderado"),CONCATENATE("R8C",'Mapa final'!$O$42),"")</f>
        <v/>
      </c>
      <c r="AB13" s="52" t="str">
        <f>IF(AND('Mapa final'!$Y$37="Muy Alta",'Mapa final'!$AA$37="Mayor"),CONCATENATE("R8C",'Mapa final'!$O$37),"")</f>
        <v/>
      </c>
      <c r="AC13" s="53" t="str">
        <f>IF(AND('Mapa final'!$Y$38="Muy Alta",'Mapa final'!$AA$38="Mayor"),CONCATENATE("R8C",'Mapa final'!$O$38),"")</f>
        <v/>
      </c>
      <c r="AD13" s="53" t="str">
        <f>IF(AND('Mapa final'!$Y$39="Muy Alta",'Mapa final'!$AA$39="Mayor"),CONCATENATE("R8C",'Mapa final'!$O$39),"")</f>
        <v/>
      </c>
      <c r="AE13" s="53" t="str">
        <f>IF(AND('Mapa final'!$Y$40="Muy Alta",'Mapa final'!$AA$40="Mayor"),CONCATENATE("R8C",'Mapa final'!$O$40),"")</f>
        <v/>
      </c>
      <c r="AF13" s="53" t="str">
        <f>IF(AND('Mapa final'!$Y$41="Muy Alta",'Mapa final'!$AA$41="Mayor"),CONCATENATE("R8C",'Mapa final'!$O$41),"")</f>
        <v/>
      </c>
      <c r="AG13" s="54" t="str">
        <f>IF(AND('Mapa final'!$Y$42="Muy Alta",'Mapa final'!$AA$42="Mayor"),CONCATENATE("R8C",'Mapa final'!$O$42),"")</f>
        <v/>
      </c>
      <c r="AH13" s="55" t="str">
        <f>IF(AND('Mapa final'!$Y$37="Muy Alta",'Mapa final'!$AA$37="Catastrófico"),CONCATENATE("R8C",'Mapa final'!$O$37),"")</f>
        <v/>
      </c>
      <c r="AI13" s="56" t="str">
        <f>IF(AND('Mapa final'!$Y$38="Muy Alta",'Mapa final'!$AA$38="Catastrófico"),CONCATENATE("R8C",'Mapa final'!$O$38),"")</f>
        <v/>
      </c>
      <c r="AJ13" s="56" t="str">
        <f>IF(AND('Mapa final'!$Y$39="Muy Alta",'Mapa final'!$AA$39="Catastrófico"),CONCATENATE("R8C",'Mapa final'!$O$39),"")</f>
        <v/>
      </c>
      <c r="AK13" s="56" t="str">
        <f>IF(AND('Mapa final'!$Y$40="Muy Alta",'Mapa final'!$AA$40="Catastrófico"),CONCATENATE("R8C",'Mapa final'!$O$40),"")</f>
        <v/>
      </c>
      <c r="AL13" s="56" t="str">
        <f>IF(AND('Mapa final'!$Y$41="Muy Alta",'Mapa final'!$AA$41="Catastrófico"),CONCATENATE("R8C",'Mapa final'!$O$41),"")</f>
        <v/>
      </c>
      <c r="AM13" s="57" t="str">
        <f>IF(AND('Mapa final'!$Y$42="Muy Alta",'Mapa final'!$AA$42="Catastrófico"),CONCATENATE("R8C",'Mapa final'!$O$42),"")</f>
        <v/>
      </c>
      <c r="AN13" s="83"/>
      <c r="AO13" s="358"/>
      <c r="AP13" s="359"/>
      <c r="AQ13" s="359"/>
      <c r="AR13" s="359"/>
      <c r="AS13" s="359"/>
      <c r="AT13" s="360"/>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97"/>
      <c r="C14" s="297"/>
      <c r="D14" s="298"/>
      <c r="E14" s="338"/>
      <c r="F14" s="339"/>
      <c r="G14" s="339"/>
      <c r="H14" s="339"/>
      <c r="I14" s="340"/>
      <c r="J14" s="52" t="str">
        <f>IF(AND('Mapa final'!$Y$43="Muy Alta",'Mapa final'!$AA$43="Leve"),CONCATENATE("R9C",'Mapa final'!$O$43),"")</f>
        <v/>
      </c>
      <c r="K14" s="53" t="str">
        <f>IF(AND('Mapa final'!$Y$44="Muy Alta",'Mapa final'!$AA$44="Leve"),CONCATENATE("R9C",'Mapa final'!$O$44),"")</f>
        <v/>
      </c>
      <c r="L14" s="53" t="str">
        <f>IF(AND('Mapa final'!$Y$45="Muy Alta",'Mapa final'!$AA$45="Leve"),CONCATENATE("R9C",'Mapa final'!$O$45),"")</f>
        <v/>
      </c>
      <c r="M14" s="53" t="str">
        <f>IF(AND('Mapa final'!$Y$46="Muy Alta",'Mapa final'!$AA$46="Leve"),CONCATENATE("R9C",'Mapa final'!$O$46),"")</f>
        <v/>
      </c>
      <c r="N14" s="53" t="str">
        <f>IF(AND('Mapa final'!$Y$47="Muy Alta",'Mapa final'!$AA$47="Leve"),CONCATENATE("R9C",'Mapa final'!$O$47),"")</f>
        <v/>
      </c>
      <c r="O14" s="54" t="str">
        <f>IF(AND('Mapa final'!$Y$48="Muy Alta",'Mapa final'!$AA$48="Leve"),CONCATENATE("R9C",'Mapa final'!$O$48),"")</f>
        <v/>
      </c>
      <c r="P14" s="52" t="str">
        <f>IF(AND('Mapa final'!$Y$43="Muy Alta",'Mapa final'!$AA$43="Menor"),CONCATENATE("R9C",'Mapa final'!$O$43),"")</f>
        <v/>
      </c>
      <c r="Q14" s="53" t="str">
        <f>IF(AND('Mapa final'!$Y$44="Muy Alta",'Mapa final'!$AA$44="Menor"),CONCATENATE("R9C",'Mapa final'!$O$44),"")</f>
        <v/>
      </c>
      <c r="R14" s="53" t="str">
        <f>IF(AND('Mapa final'!$Y$45="Muy Alta",'Mapa final'!$AA$45="Menor"),CONCATENATE("R9C",'Mapa final'!$O$45),"")</f>
        <v/>
      </c>
      <c r="S14" s="53" t="str">
        <f>IF(AND('Mapa final'!$Y$46="Muy Alta",'Mapa final'!$AA$46="Menor"),CONCATENATE("R9C",'Mapa final'!$O$46),"")</f>
        <v/>
      </c>
      <c r="T14" s="53" t="str">
        <f>IF(AND('Mapa final'!$Y$47="Muy Alta",'Mapa final'!$AA$47="Menor"),CONCATENATE("R9C",'Mapa final'!$O$47),"")</f>
        <v/>
      </c>
      <c r="U14" s="54" t="str">
        <f>IF(AND('Mapa final'!$Y$48="Muy Alta",'Mapa final'!$AA$48="Menor"),CONCATENATE("R9C",'Mapa final'!$O$48),"")</f>
        <v/>
      </c>
      <c r="V14" s="52" t="str">
        <f>IF(AND('Mapa final'!$Y$43="Muy Alta",'Mapa final'!$AA$43="Moderado"),CONCATENATE("R9C",'Mapa final'!$O$43),"")</f>
        <v/>
      </c>
      <c r="W14" s="53" t="str">
        <f>IF(AND('Mapa final'!$Y$44="Muy Alta",'Mapa final'!$AA$44="Moderado"),CONCATENATE("R9C",'Mapa final'!$O$44),"")</f>
        <v/>
      </c>
      <c r="X14" s="53" t="str">
        <f>IF(AND('Mapa final'!$Y$45="Muy Alta",'Mapa final'!$AA$45="Moderado"),CONCATENATE("R9C",'Mapa final'!$O$45),"")</f>
        <v/>
      </c>
      <c r="Y14" s="53" t="str">
        <f>IF(AND('Mapa final'!$Y$46="Muy Alta",'Mapa final'!$AA$46="Moderado"),CONCATENATE("R9C",'Mapa final'!$O$46),"")</f>
        <v/>
      </c>
      <c r="Z14" s="53" t="str">
        <f>IF(AND('Mapa final'!$Y$47="Muy Alta",'Mapa final'!$AA$47="Moderado"),CONCATENATE("R9C",'Mapa final'!$O$47),"")</f>
        <v/>
      </c>
      <c r="AA14" s="54" t="str">
        <f>IF(AND('Mapa final'!$Y$48="Muy Alta",'Mapa final'!$AA$48="Moderado"),CONCATENATE("R9C",'Mapa final'!$O$48),"")</f>
        <v/>
      </c>
      <c r="AB14" s="52" t="str">
        <f>IF(AND('Mapa final'!$Y$43="Muy Alta",'Mapa final'!$AA$43="Mayor"),CONCATENATE("R9C",'Mapa final'!$O$43),"")</f>
        <v/>
      </c>
      <c r="AC14" s="53" t="str">
        <f>IF(AND('Mapa final'!$Y$44="Muy Alta",'Mapa final'!$AA$44="Mayor"),CONCATENATE("R9C",'Mapa final'!$O$44),"")</f>
        <v/>
      </c>
      <c r="AD14" s="53" t="str">
        <f>IF(AND('Mapa final'!$Y$45="Muy Alta",'Mapa final'!$AA$45="Mayor"),CONCATENATE("R9C",'Mapa final'!$O$45),"")</f>
        <v/>
      </c>
      <c r="AE14" s="53" t="str">
        <f>IF(AND('Mapa final'!$Y$46="Muy Alta",'Mapa final'!$AA$46="Mayor"),CONCATENATE("R9C",'Mapa final'!$O$46),"")</f>
        <v/>
      </c>
      <c r="AF14" s="53" t="str">
        <f>IF(AND('Mapa final'!$Y$47="Muy Alta",'Mapa final'!$AA$47="Mayor"),CONCATENATE("R9C",'Mapa final'!$O$47),"")</f>
        <v/>
      </c>
      <c r="AG14" s="54" t="str">
        <f>IF(AND('Mapa final'!$Y$48="Muy Alta",'Mapa final'!$AA$48="Mayor"),CONCATENATE("R9C",'Mapa final'!$O$48),"")</f>
        <v/>
      </c>
      <c r="AH14" s="55" t="str">
        <f>IF(AND('Mapa final'!$Y$43="Muy Alta",'Mapa final'!$AA$43="Catastrófico"),CONCATENATE("R9C",'Mapa final'!$O$43),"")</f>
        <v/>
      </c>
      <c r="AI14" s="56" t="str">
        <f>IF(AND('Mapa final'!$Y$44="Muy Alta",'Mapa final'!$AA$44="Catastrófico"),CONCATENATE("R9C",'Mapa final'!$O$44),"")</f>
        <v/>
      </c>
      <c r="AJ14" s="56" t="str">
        <f>IF(AND('Mapa final'!$Y$45="Muy Alta",'Mapa final'!$AA$45="Catastrófico"),CONCATENATE("R9C",'Mapa final'!$O$45),"")</f>
        <v/>
      </c>
      <c r="AK14" s="56" t="str">
        <f>IF(AND('Mapa final'!$Y$46="Muy Alta",'Mapa final'!$AA$46="Catastrófico"),CONCATENATE("R9C",'Mapa final'!$O$46),"")</f>
        <v/>
      </c>
      <c r="AL14" s="56" t="str">
        <f>IF(AND('Mapa final'!$Y$47="Muy Alta",'Mapa final'!$AA$47="Catastrófico"),CONCATENATE("R9C",'Mapa final'!$O$47),"")</f>
        <v/>
      </c>
      <c r="AM14" s="57" t="str">
        <f>IF(AND('Mapa final'!$Y$48="Muy Alta",'Mapa final'!$AA$48="Catastrófico"),CONCATENATE("R9C",'Mapa final'!$O$48),"")</f>
        <v/>
      </c>
      <c r="AN14" s="83"/>
      <c r="AO14" s="358"/>
      <c r="AP14" s="359"/>
      <c r="AQ14" s="359"/>
      <c r="AR14" s="359"/>
      <c r="AS14" s="359"/>
      <c r="AT14" s="36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97"/>
      <c r="C15" s="297"/>
      <c r="D15" s="298"/>
      <c r="E15" s="341"/>
      <c r="F15" s="342"/>
      <c r="G15" s="342"/>
      <c r="H15" s="342"/>
      <c r="I15" s="343"/>
      <c r="J15" s="58" t="str">
        <f>IF(AND('Mapa final'!$Y$49="Muy Alta",'Mapa final'!$AA$49="Leve"),CONCATENATE("R10C",'Mapa final'!$O$49),"")</f>
        <v/>
      </c>
      <c r="K15" s="59" t="str">
        <f>IF(AND('Mapa final'!$Y$50="Muy Alta",'Mapa final'!$AA$50="Leve"),CONCATENATE("R10C",'Mapa final'!$O$50),"")</f>
        <v/>
      </c>
      <c r="L15" s="59" t="str">
        <f>IF(AND('Mapa final'!$Y$51="Muy Alta",'Mapa final'!$AA$51="Leve"),CONCATENATE("R10C",'Mapa final'!$O$51),"")</f>
        <v/>
      </c>
      <c r="M15" s="59" t="str">
        <f>IF(AND('Mapa final'!$Y$52="Muy Alta",'Mapa final'!$AA$52="Leve"),CONCATENATE("R10C",'Mapa final'!$O$52),"")</f>
        <v/>
      </c>
      <c r="N15" s="59" t="str">
        <f>IF(AND('Mapa final'!$Y$53="Muy Alta",'Mapa final'!$AA$53="Leve"),CONCATENATE("R10C",'Mapa final'!$O$53),"")</f>
        <v/>
      </c>
      <c r="O15" s="60" t="str">
        <f>IF(AND('Mapa final'!$Y$54="Muy Alta",'Mapa final'!$AA$54="Leve"),CONCATENATE("R10C",'Mapa final'!$O$54),"")</f>
        <v/>
      </c>
      <c r="P15" s="52" t="str">
        <f>IF(AND('Mapa final'!$Y$49="Muy Alta",'Mapa final'!$AA$49="Menor"),CONCATENATE("R10C",'Mapa final'!$O$49),"")</f>
        <v/>
      </c>
      <c r="Q15" s="53" t="str">
        <f>IF(AND('Mapa final'!$Y$50="Muy Alta",'Mapa final'!$AA$50="Menor"),CONCATENATE("R10C",'Mapa final'!$O$50),"")</f>
        <v/>
      </c>
      <c r="R15" s="53" t="str">
        <f>IF(AND('Mapa final'!$Y$51="Muy Alta",'Mapa final'!$AA$51="Menor"),CONCATENATE("R10C",'Mapa final'!$O$51),"")</f>
        <v/>
      </c>
      <c r="S15" s="53" t="str">
        <f>IF(AND('Mapa final'!$Y$52="Muy Alta",'Mapa final'!$AA$52="Menor"),CONCATENATE("R10C",'Mapa final'!$O$52),"")</f>
        <v/>
      </c>
      <c r="T15" s="53" t="str">
        <f>IF(AND('Mapa final'!$Y$53="Muy Alta",'Mapa final'!$AA$53="Menor"),CONCATENATE("R10C",'Mapa final'!$O$53),"")</f>
        <v/>
      </c>
      <c r="U15" s="54" t="str">
        <f>IF(AND('Mapa final'!$Y$54="Muy Alta",'Mapa final'!$AA$54="Menor"),CONCATENATE("R10C",'Mapa final'!$O$54),"")</f>
        <v/>
      </c>
      <c r="V15" s="58" t="str">
        <f>IF(AND('Mapa final'!$Y$49="Muy Alta",'Mapa final'!$AA$49="Moderado"),CONCATENATE("R10C",'Mapa final'!$O$49),"")</f>
        <v/>
      </c>
      <c r="W15" s="59" t="str">
        <f>IF(AND('Mapa final'!$Y$50="Muy Alta",'Mapa final'!$AA$50="Moderado"),CONCATENATE("R10C",'Mapa final'!$O$50),"")</f>
        <v/>
      </c>
      <c r="X15" s="59" t="str">
        <f>IF(AND('Mapa final'!$Y$51="Muy Alta",'Mapa final'!$AA$51="Moderado"),CONCATENATE("R10C",'Mapa final'!$O$51),"")</f>
        <v/>
      </c>
      <c r="Y15" s="59" t="str">
        <f>IF(AND('Mapa final'!$Y$52="Muy Alta",'Mapa final'!$AA$52="Moderado"),CONCATENATE("R10C",'Mapa final'!$O$52),"")</f>
        <v/>
      </c>
      <c r="Z15" s="59" t="str">
        <f>IF(AND('Mapa final'!$Y$53="Muy Alta",'Mapa final'!$AA$53="Moderado"),CONCATENATE("R10C",'Mapa final'!$O$53),"")</f>
        <v/>
      </c>
      <c r="AA15" s="60" t="str">
        <f>IF(AND('Mapa final'!$Y$54="Muy Alta",'Mapa final'!$AA$54="Moderado"),CONCATENATE("R10C",'Mapa final'!$O$54),"")</f>
        <v/>
      </c>
      <c r="AB15" s="52" t="str">
        <f>IF(AND('Mapa final'!$Y$49="Muy Alta",'Mapa final'!$AA$49="Mayor"),CONCATENATE("R10C",'Mapa final'!$O$49),"")</f>
        <v/>
      </c>
      <c r="AC15" s="53" t="str">
        <f>IF(AND('Mapa final'!$Y$50="Muy Alta",'Mapa final'!$AA$50="Mayor"),CONCATENATE("R10C",'Mapa final'!$O$50),"")</f>
        <v/>
      </c>
      <c r="AD15" s="53" t="str">
        <f>IF(AND('Mapa final'!$Y$51="Muy Alta",'Mapa final'!$AA$51="Mayor"),CONCATENATE("R10C",'Mapa final'!$O$51),"")</f>
        <v/>
      </c>
      <c r="AE15" s="53" t="str">
        <f>IF(AND('Mapa final'!$Y$52="Muy Alta",'Mapa final'!$AA$52="Mayor"),CONCATENATE("R10C",'Mapa final'!$O$52),"")</f>
        <v/>
      </c>
      <c r="AF15" s="53" t="str">
        <f>IF(AND('Mapa final'!$Y$53="Muy Alta",'Mapa final'!$AA$53="Mayor"),CONCATENATE("R10C",'Mapa final'!$O$53),"")</f>
        <v/>
      </c>
      <c r="AG15" s="54" t="str">
        <f>IF(AND('Mapa final'!$Y$54="Muy Alta",'Mapa final'!$AA$54="Mayor"),CONCATENATE("R10C",'Mapa final'!$O$54),"")</f>
        <v/>
      </c>
      <c r="AH15" s="61" t="str">
        <f>IF(AND('Mapa final'!$Y$49="Muy Alta",'Mapa final'!$AA$49="Catastrófico"),CONCATENATE("R10C",'Mapa final'!$O$49),"")</f>
        <v/>
      </c>
      <c r="AI15" s="62" t="str">
        <f>IF(AND('Mapa final'!$Y$50="Muy Alta",'Mapa final'!$AA$50="Catastrófico"),CONCATENATE("R10C",'Mapa final'!$O$50),"")</f>
        <v/>
      </c>
      <c r="AJ15" s="62" t="str">
        <f>IF(AND('Mapa final'!$Y$51="Muy Alta",'Mapa final'!$AA$51="Catastrófico"),CONCATENATE("R10C",'Mapa final'!$O$51),"")</f>
        <v/>
      </c>
      <c r="AK15" s="62" t="str">
        <f>IF(AND('Mapa final'!$Y$52="Muy Alta",'Mapa final'!$AA$52="Catastrófico"),CONCATENATE("R10C",'Mapa final'!$O$52),"")</f>
        <v/>
      </c>
      <c r="AL15" s="62" t="str">
        <f>IF(AND('Mapa final'!$Y$53="Muy Alta",'Mapa final'!$AA$53="Catastrófico"),CONCATENATE("R10C",'Mapa final'!$O$53),"")</f>
        <v/>
      </c>
      <c r="AM15" s="63" t="str">
        <f>IF(AND('Mapa final'!$Y$54="Muy Alta",'Mapa final'!$AA$54="Catastrófico"),CONCATENATE("R10C",'Mapa final'!$O$54),"")</f>
        <v/>
      </c>
      <c r="AN15" s="83"/>
      <c r="AO15" s="361"/>
      <c r="AP15" s="362"/>
      <c r="AQ15" s="362"/>
      <c r="AR15" s="362"/>
      <c r="AS15" s="362"/>
      <c r="AT15" s="36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97"/>
      <c r="C16" s="297"/>
      <c r="D16" s="298"/>
      <c r="E16" s="335" t="s">
        <v>115</v>
      </c>
      <c r="F16" s="336"/>
      <c r="G16" s="336"/>
      <c r="H16" s="336"/>
      <c r="I16" s="336"/>
      <c r="J16" s="64" t="str">
        <f>IF(AND('Mapa final'!$Y$10="Alta",'Mapa final'!$AA$10="Leve"),CONCATENATE("R1C",'Mapa final'!$O$10),"")</f>
        <v/>
      </c>
      <c r="K16" s="65" t="e">
        <f>IF(AND('Mapa final'!#REF!="Alta",'Mapa final'!#REF!="Leve"),CONCATENATE("R1C",'Mapa final'!#REF!),"")</f>
        <v>#REF!</v>
      </c>
      <c r="L16" s="65" t="e">
        <f>IF(AND('Mapa final'!#REF!="Alta",'Mapa final'!#REF!="Leve"),CONCATENATE("R1C",'Mapa final'!#REF!),"")</f>
        <v>#REF!</v>
      </c>
      <c r="M16" s="65" t="e">
        <f>IF(AND('Mapa final'!#REF!="Alta",'Mapa final'!#REF!="Leve"),CONCATENATE("R1C",'Mapa final'!#REF!),"")</f>
        <v>#REF!</v>
      </c>
      <c r="N16" s="65" t="e">
        <f>IF(AND('Mapa final'!#REF!="Alta",'Mapa final'!#REF!="Leve"),CONCATENATE("R1C",'Mapa final'!#REF!),"")</f>
        <v>#REF!</v>
      </c>
      <c r="O16" s="66" t="e">
        <f>IF(AND('Mapa final'!#REF!="Alta",'Mapa final'!#REF!="Leve"),CONCATENATE("R1C",'Mapa final'!#REF!),"")</f>
        <v>#REF!</v>
      </c>
      <c r="P16" s="64" t="str">
        <f>IF(AND('Mapa final'!$Y$10="Alta",'Mapa final'!$AA$10="Menor"),CONCATENATE("R1C",'Mapa final'!$O$10),"")</f>
        <v>R1C1</v>
      </c>
      <c r="Q16" s="65" t="e">
        <f>IF(AND('Mapa final'!#REF!="Alta",'Mapa final'!#REF!="Menor"),CONCATENATE("R1C",'Mapa final'!#REF!),"")</f>
        <v>#REF!</v>
      </c>
      <c r="R16" s="65" t="e">
        <f>IF(AND('Mapa final'!#REF!="Alta",'Mapa final'!#REF!="Menor"),CONCATENATE("R1C",'Mapa final'!#REF!),"")</f>
        <v>#REF!</v>
      </c>
      <c r="S16" s="65" t="e">
        <f>IF(AND('Mapa final'!#REF!="Alta",'Mapa final'!#REF!="Menor"),CONCATENATE("R1C",'Mapa final'!#REF!),"")</f>
        <v>#REF!</v>
      </c>
      <c r="T16" s="65" t="e">
        <f>IF(AND('Mapa final'!#REF!="Alta",'Mapa final'!#REF!="Menor"),CONCATENATE("R1C",'Mapa final'!#REF!),"")</f>
        <v>#REF!</v>
      </c>
      <c r="U16" s="66" t="e">
        <f>IF(AND('Mapa final'!#REF!="Alta",'Mapa final'!#REF!="Menor"),CONCATENATE("R1C",'Mapa final'!#REF!),"")</f>
        <v>#REF!</v>
      </c>
      <c r="V16" s="46" t="str">
        <f>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3"/>
      <c r="AO16" s="345" t="s">
        <v>80</v>
      </c>
      <c r="AP16" s="346"/>
      <c r="AQ16" s="346"/>
      <c r="AR16" s="346"/>
      <c r="AS16" s="346"/>
      <c r="AT16" s="34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97"/>
      <c r="C17" s="297"/>
      <c r="D17" s="298"/>
      <c r="E17" s="354"/>
      <c r="F17" s="339"/>
      <c r="G17" s="339"/>
      <c r="H17" s="339"/>
      <c r="I17" s="339"/>
      <c r="J17" s="67" t="str">
        <f>IF(AND('Mapa final'!$Y$11="Alta",'Mapa final'!$AA$11="Leve"),CONCATENATE("R2C",'Mapa final'!$O$11),"")</f>
        <v/>
      </c>
      <c r="K17" s="68" t="e">
        <f>IF(AND('Mapa final'!#REF!="Alta",'Mapa final'!#REF!="Leve"),CONCATENATE("R2C",'Mapa final'!#REF!),"")</f>
        <v>#REF!</v>
      </c>
      <c r="L17" s="68" t="e">
        <f>IF(AND('Mapa final'!#REF!="Alta",'Mapa final'!#REF!="Leve"),CONCATENATE("R2C",'Mapa final'!#REF!),"")</f>
        <v>#REF!</v>
      </c>
      <c r="M17" s="68" t="e">
        <f>IF(AND('Mapa final'!#REF!="Alta",'Mapa final'!#REF!="Leve"),CONCATENATE("R2C",'Mapa final'!#REF!),"")</f>
        <v>#REF!</v>
      </c>
      <c r="N17" s="68" t="e">
        <f>IF(AND('Mapa final'!#REF!="Alta",'Mapa final'!#REF!="Leve"),CONCATENATE("R2C",'Mapa final'!#REF!),"")</f>
        <v>#REF!</v>
      </c>
      <c r="O17" s="69" t="e">
        <f>IF(AND('Mapa final'!#REF!="Alta",'Mapa final'!#REF!="Leve"),CONCATENATE("R2C",'Mapa final'!#REF!),"")</f>
        <v>#REF!</v>
      </c>
      <c r="P17" s="67" t="str">
        <f>IF(AND('Mapa final'!$Y$11="Alta",'Mapa final'!$AA$11="Menor"),CONCATENATE("R2C",'Mapa final'!$O$11),"")</f>
        <v/>
      </c>
      <c r="Q17" s="68" t="e">
        <f>IF(AND('Mapa final'!#REF!="Alta",'Mapa final'!#REF!="Menor"),CONCATENATE("R2C",'Mapa final'!#REF!),"")</f>
        <v>#REF!</v>
      </c>
      <c r="R17" s="68" t="e">
        <f>IF(AND('Mapa final'!#REF!="Alta",'Mapa final'!#REF!="Menor"),CONCATENATE("R2C",'Mapa final'!#REF!),"")</f>
        <v>#REF!</v>
      </c>
      <c r="S17" s="68" t="e">
        <f>IF(AND('Mapa final'!#REF!="Alta",'Mapa final'!#REF!="Menor"),CONCATENATE("R2C",'Mapa final'!#REF!),"")</f>
        <v>#REF!</v>
      </c>
      <c r="T17" s="68" t="e">
        <f>IF(AND('Mapa final'!#REF!="Alta",'Mapa final'!#REF!="Menor"),CONCATENATE("R2C",'Mapa final'!#REF!),"")</f>
        <v>#REF!</v>
      </c>
      <c r="U17" s="69" t="e">
        <f>IF(AND('Mapa final'!#REF!="Alta",'Mapa final'!#REF!="Menor"),CONCATENATE("R2C",'Mapa final'!#REF!),"")</f>
        <v>#REF!</v>
      </c>
      <c r="V17" s="52" t="str">
        <f>IF(AND('Mapa final'!$Y$11="Alta",'Mapa final'!$AA$11="Moderado"),CONCATENATE("R2C",'Mapa final'!$O$11),"")</f>
        <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str">
        <f>IF(AND('Mapa final'!$Y$11="Alta",'Mapa final'!$AA$11="Mayor"),CONCATENATE("R2C",'Mapa final'!$O$11),"")</f>
        <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str">
        <f>IF(AND('Mapa final'!$Y$11="Alta",'Mapa final'!$AA$11="Catastrófico"),CONCATENATE("R2C",'Mapa final'!$O$11),"")</f>
        <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3"/>
      <c r="AO17" s="348"/>
      <c r="AP17" s="349"/>
      <c r="AQ17" s="349"/>
      <c r="AR17" s="349"/>
      <c r="AS17" s="349"/>
      <c r="AT17" s="35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97"/>
      <c r="C18" s="297"/>
      <c r="D18" s="298"/>
      <c r="E18" s="338"/>
      <c r="F18" s="339"/>
      <c r="G18" s="339"/>
      <c r="H18" s="339"/>
      <c r="I18" s="339"/>
      <c r="J18" s="67" t="str">
        <f>IF(AND('Mapa final'!$Y$12="Alta",'Mapa final'!$AA$12="Leve"),CONCATENATE("R3C",'Mapa final'!$O$12),"")</f>
        <v/>
      </c>
      <c r="K18" s="68" t="e">
        <f>IF(AND('Mapa final'!#REF!="Alta",'Mapa final'!#REF!="Leve"),CONCATENATE("R3C",'Mapa final'!#REF!),"")</f>
        <v>#REF!</v>
      </c>
      <c r="L18" s="68" t="e">
        <f>IF(AND('Mapa final'!#REF!="Alta",'Mapa final'!#REF!="Leve"),CONCATENATE("R3C",'Mapa final'!#REF!),"")</f>
        <v>#REF!</v>
      </c>
      <c r="M18" s="68" t="e">
        <f>IF(AND('Mapa final'!#REF!="Alta",'Mapa final'!#REF!="Leve"),CONCATENATE("R3C",'Mapa final'!#REF!),"")</f>
        <v>#REF!</v>
      </c>
      <c r="N18" s="68" t="e">
        <f>IF(AND('Mapa final'!#REF!="Alta",'Mapa final'!#REF!="Leve"),CONCATENATE("R3C",'Mapa final'!#REF!),"")</f>
        <v>#REF!</v>
      </c>
      <c r="O18" s="69" t="e">
        <f>IF(AND('Mapa final'!#REF!="Alta",'Mapa final'!#REF!="Leve"),CONCATENATE("R3C",'Mapa final'!#REF!),"")</f>
        <v>#REF!</v>
      </c>
      <c r="P18" s="67" t="str">
        <f>IF(AND('Mapa final'!$Y$12="Alta",'Mapa final'!$AA$12="Menor"),CONCATENATE("R3C",'Mapa final'!$O$12),"")</f>
        <v/>
      </c>
      <c r="Q18" s="68" t="e">
        <f>IF(AND('Mapa final'!#REF!="Alta",'Mapa final'!#REF!="Menor"),CONCATENATE("R3C",'Mapa final'!#REF!),"")</f>
        <v>#REF!</v>
      </c>
      <c r="R18" s="68" t="e">
        <f>IF(AND('Mapa final'!#REF!="Alta",'Mapa final'!#REF!="Menor"),CONCATENATE("R3C",'Mapa final'!#REF!),"")</f>
        <v>#REF!</v>
      </c>
      <c r="S18" s="68" t="e">
        <f>IF(AND('Mapa final'!#REF!="Alta",'Mapa final'!#REF!="Menor"),CONCATENATE("R3C",'Mapa final'!#REF!),"")</f>
        <v>#REF!</v>
      </c>
      <c r="T18" s="68" t="e">
        <f>IF(AND('Mapa final'!#REF!="Alta",'Mapa final'!#REF!="Menor"),CONCATENATE("R3C",'Mapa final'!#REF!),"")</f>
        <v>#REF!</v>
      </c>
      <c r="U18" s="69" t="e">
        <f>IF(AND('Mapa final'!#REF!="Alta",'Mapa final'!#REF!="Menor"),CONCATENATE("R3C",'Mapa final'!#REF!),"")</f>
        <v>#REF!</v>
      </c>
      <c r="V18" s="52" t="str">
        <f>IF(AND('Mapa final'!$Y$12="Alta",'Mapa final'!$AA$12="Moderado"),CONCATENATE("R3C",'Mapa final'!$O$12),"")</f>
        <v/>
      </c>
      <c r="W18" s="53" t="e">
        <f>IF(AND('Mapa final'!#REF!="Alta",'Mapa final'!#REF!="Moderado"),CONCATENATE("R3C",'Mapa final'!#REF!),"")</f>
        <v>#REF!</v>
      </c>
      <c r="X18" s="53" t="e">
        <f>IF(AND('Mapa final'!#REF!="Alta",'Mapa final'!#REF!="Moderado"),CONCATENATE("R3C",'Mapa final'!#REF!),"")</f>
        <v>#REF!</v>
      </c>
      <c r="Y18" s="53" t="e">
        <f>IF(AND('Mapa final'!#REF!="Alta",'Mapa final'!#REF!="Moderado"),CONCATENATE("R3C",'Mapa final'!#REF!),"")</f>
        <v>#REF!</v>
      </c>
      <c r="Z18" s="53" t="e">
        <f>IF(AND('Mapa final'!#REF!="Alta",'Mapa final'!#REF!="Moderado"),CONCATENATE("R3C",'Mapa final'!#REF!),"")</f>
        <v>#REF!</v>
      </c>
      <c r="AA18" s="54" t="e">
        <f>IF(AND('Mapa final'!#REF!="Alta",'Mapa final'!#REF!="Moderado"),CONCATENATE("R3C",'Mapa final'!#REF!),"")</f>
        <v>#REF!</v>
      </c>
      <c r="AB18" s="52" t="str">
        <f>IF(AND('Mapa final'!$Y$12="Alta",'Mapa final'!$AA$12="Mayor"),CONCATENATE("R3C",'Mapa final'!$O$12),"")</f>
        <v/>
      </c>
      <c r="AC18" s="53" t="e">
        <f>IF(AND('Mapa final'!#REF!="Alta",'Mapa final'!#REF!="Mayor"),CONCATENATE("R3C",'Mapa final'!#REF!),"")</f>
        <v>#REF!</v>
      </c>
      <c r="AD18" s="53" t="e">
        <f>IF(AND('Mapa final'!#REF!="Alta",'Mapa final'!#REF!="Mayor"),CONCATENATE("R3C",'Mapa final'!#REF!),"")</f>
        <v>#REF!</v>
      </c>
      <c r="AE18" s="53" t="e">
        <f>IF(AND('Mapa final'!#REF!="Alta",'Mapa final'!#REF!="Mayor"),CONCATENATE("R3C",'Mapa final'!#REF!),"")</f>
        <v>#REF!</v>
      </c>
      <c r="AF18" s="53" t="e">
        <f>IF(AND('Mapa final'!#REF!="Alta",'Mapa final'!#REF!="Mayor"),CONCATENATE("R3C",'Mapa final'!#REF!),"")</f>
        <v>#REF!</v>
      </c>
      <c r="AG18" s="54" t="e">
        <f>IF(AND('Mapa final'!#REF!="Alta",'Mapa final'!#REF!="Mayor"),CONCATENATE("R3C",'Mapa final'!#REF!),"")</f>
        <v>#REF!</v>
      </c>
      <c r="AH18" s="55" t="str">
        <f>IF(AND('Mapa final'!$Y$12="Alta",'Mapa final'!$AA$12="Catastrófico"),CONCATENATE("R3C",'Mapa final'!$O$12),"")</f>
        <v/>
      </c>
      <c r="AI18" s="56" t="e">
        <f>IF(AND('Mapa final'!#REF!="Alta",'Mapa final'!#REF!="Catastrófico"),CONCATENATE("R3C",'Mapa final'!#REF!),"")</f>
        <v>#REF!</v>
      </c>
      <c r="AJ18" s="56" t="e">
        <f>IF(AND('Mapa final'!#REF!="Alta",'Mapa final'!#REF!="Catastrófico"),CONCATENATE("R3C",'Mapa final'!#REF!),"")</f>
        <v>#REF!</v>
      </c>
      <c r="AK18" s="56" t="e">
        <f>IF(AND('Mapa final'!#REF!="Alta",'Mapa final'!#REF!="Catastrófico"),CONCATENATE("R3C",'Mapa final'!#REF!),"")</f>
        <v>#REF!</v>
      </c>
      <c r="AL18" s="56" t="e">
        <f>IF(AND('Mapa final'!#REF!="Alta",'Mapa final'!#REF!="Catastrófico"),CONCATENATE("R3C",'Mapa final'!#REF!),"")</f>
        <v>#REF!</v>
      </c>
      <c r="AM18" s="57" t="e">
        <f>IF(AND('Mapa final'!#REF!="Alta",'Mapa final'!#REF!="Catastrófico"),CONCATENATE("R3C",'Mapa final'!#REF!),"")</f>
        <v>#REF!</v>
      </c>
      <c r="AN18" s="83"/>
      <c r="AO18" s="348"/>
      <c r="AP18" s="349"/>
      <c r="AQ18" s="349"/>
      <c r="AR18" s="349"/>
      <c r="AS18" s="349"/>
      <c r="AT18" s="35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97"/>
      <c r="C19" s="297"/>
      <c r="D19" s="298"/>
      <c r="E19" s="338"/>
      <c r="F19" s="339"/>
      <c r="G19" s="339"/>
      <c r="H19" s="339"/>
      <c r="I19" s="339"/>
      <c r="J19" s="67" t="str">
        <f>IF(AND('Mapa final'!$Y$13="Alta",'Mapa final'!$AA$13="Leve"),CONCATENATE("R4C",'Mapa final'!$O$13),"")</f>
        <v/>
      </c>
      <c r="K19" s="68" t="str">
        <f>IF(AND('Mapa final'!$Y$14="Alta",'Mapa final'!$AA$14="Leve"),CONCATENATE("R4C",'Mapa final'!$O$14),"")</f>
        <v/>
      </c>
      <c r="L19" s="68" t="str">
        <f>IF(AND('Mapa final'!$Y$15="Alta",'Mapa final'!$AA$15="Leve"),CONCATENATE("R4C",'Mapa final'!$O$15),"")</f>
        <v/>
      </c>
      <c r="M19" s="68" t="str">
        <f>IF(AND('Mapa final'!$Y$16="Alta",'Mapa final'!$AA$16="Leve"),CONCATENATE("R4C",'Mapa final'!$O$16),"")</f>
        <v/>
      </c>
      <c r="N19" s="68" t="str">
        <f>IF(AND('Mapa final'!$Y$17="Alta",'Mapa final'!$AA$17="Leve"),CONCATENATE("R4C",'Mapa final'!$O$17),"")</f>
        <v/>
      </c>
      <c r="O19" s="69" t="str">
        <f>IF(AND('Mapa final'!$Y$18="Alta",'Mapa final'!$AA$18="Leve"),CONCATENATE("R4C",'Mapa final'!$O$18),"")</f>
        <v/>
      </c>
      <c r="P19" s="67" t="str">
        <f>IF(AND('Mapa final'!$Y$13="Alta",'Mapa final'!$AA$13="Menor"),CONCATENATE("R4C",'Mapa final'!$O$13),"")</f>
        <v/>
      </c>
      <c r="Q19" s="68" t="str">
        <f>IF(AND('Mapa final'!$Y$14="Alta",'Mapa final'!$AA$14="Menor"),CONCATENATE("R4C",'Mapa final'!$O$14),"")</f>
        <v/>
      </c>
      <c r="R19" s="68" t="str">
        <f>IF(AND('Mapa final'!$Y$15="Alta",'Mapa final'!$AA$15="Menor"),CONCATENATE("R4C",'Mapa final'!$O$15),"")</f>
        <v/>
      </c>
      <c r="S19" s="68" t="str">
        <f>IF(AND('Mapa final'!$Y$16="Alta",'Mapa final'!$AA$16="Menor"),CONCATENATE("R4C",'Mapa final'!$O$16),"")</f>
        <v/>
      </c>
      <c r="T19" s="68" t="str">
        <f>IF(AND('Mapa final'!$Y$17="Alta",'Mapa final'!$AA$17="Menor"),CONCATENATE("R4C",'Mapa final'!$O$17),"")</f>
        <v/>
      </c>
      <c r="U19" s="69" t="str">
        <f>IF(AND('Mapa final'!$Y$18="Alta",'Mapa final'!$AA$18="Menor"),CONCATENATE("R4C",'Mapa final'!$O$18),"")</f>
        <v/>
      </c>
      <c r="V19" s="52" t="str">
        <f>IF(AND('Mapa final'!$Y$13="Alta",'Mapa final'!$AA$13="Moderado"),CONCATENATE("R4C",'Mapa final'!$O$13),"")</f>
        <v/>
      </c>
      <c r="W19" s="53" t="str">
        <f>IF(AND('Mapa final'!$Y$14="Alta",'Mapa final'!$AA$14="Moderado"),CONCATENATE("R4C",'Mapa final'!$O$14),"")</f>
        <v/>
      </c>
      <c r="X19" s="53" t="str">
        <f>IF(AND('Mapa final'!$Y$15="Alta",'Mapa final'!$AA$15="Moderado"),CONCATENATE("R4C",'Mapa final'!$O$15),"")</f>
        <v/>
      </c>
      <c r="Y19" s="53" t="str">
        <f>IF(AND('Mapa final'!$Y$16="Alta",'Mapa final'!$AA$16="Moderado"),CONCATENATE("R4C",'Mapa final'!$O$16),"")</f>
        <v/>
      </c>
      <c r="Z19" s="53" t="str">
        <f>IF(AND('Mapa final'!$Y$17="Alta",'Mapa final'!$AA$17="Moderado"),CONCATENATE("R4C",'Mapa final'!$O$17),"")</f>
        <v/>
      </c>
      <c r="AA19" s="54" t="str">
        <f>IF(AND('Mapa final'!$Y$18="Alta",'Mapa final'!$AA$18="Moderado"),CONCATENATE("R4C",'Mapa final'!$O$18),"")</f>
        <v/>
      </c>
      <c r="AB19" s="52" t="str">
        <f>IF(AND('Mapa final'!$Y$13="Alta",'Mapa final'!$AA$13="Mayor"),CONCATENATE("R4C",'Mapa final'!$O$13),"")</f>
        <v/>
      </c>
      <c r="AC19" s="53" t="str">
        <f>IF(AND('Mapa final'!$Y$14="Alta",'Mapa final'!$AA$14="Mayor"),CONCATENATE("R4C",'Mapa final'!$O$14),"")</f>
        <v/>
      </c>
      <c r="AD19" s="53" t="str">
        <f>IF(AND('Mapa final'!$Y$15="Alta",'Mapa final'!$AA$15="Mayor"),CONCATENATE("R4C",'Mapa final'!$O$15),"")</f>
        <v/>
      </c>
      <c r="AE19" s="53" t="str">
        <f>IF(AND('Mapa final'!$Y$16="Alta",'Mapa final'!$AA$16="Mayor"),CONCATENATE("R4C",'Mapa final'!$O$16),"")</f>
        <v/>
      </c>
      <c r="AF19" s="53" t="str">
        <f>IF(AND('Mapa final'!$Y$17="Alta",'Mapa final'!$AA$17="Mayor"),CONCATENATE("R4C",'Mapa final'!$O$17),"")</f>
        <v/>
      </c>
      <c r="AG19" s="54" t="str">
        <f>IF(AND('Mapa final'!$Y$18="Alta",'Mapa final'!$AA$18="Mayor"),CONCATENATE("R4C",'Mapa final'!$O$18),"")</f>
        <v/>
      </c>
      <c r="AH19" s="55" t="str">
        <f>IF(AND('Mapa final'!$Y$13="Alta",'Mapa final'!$AA$13="Catastrófico"),CONCATENATE("R4C",'Mapa final'!$O$13),"")</f>
        <v/>
      </c>
      <c r="AI19" s="56" t="str">
        <f>IF(AND('Mapa final'!$Y$14="Alta",'Mapa final'!$AA$14="Catastrófico"),CONCATENATE("R4C",'Mapa final'!$O$14),"")</f>
        <v/>
      </c>
      <c r="AJ19" s="56" t="str">
        <f>IF(AND('Mapa final'!$Y$15="Alta",'Mapa final'!$AA$15="Catastrófico"),CONCATENATE("R4C",'Mapa final'!$O$15),"")</f>
        <v/>
      </c>
      <c r="AK19" s="56" t="str">
        <f>IF(AND('Mapa final'!$Y$16="Alta",'Mapa final'!$AA$16="Catastrófico"),CONCATENATE("R4C",'Mapa final'!$O$16),"")</f>
        <v/>
      </c>
      <c r="AL19" s="56" t="str">
        <f>IF(AND('Mapa final'!$Y$17="Alta",'Mapa final'!$AA$17="Catastrófico"),CONCATENATE("R4C",'Mapa final'!$O$17),"")</f>
        <v/>
      </c>
      <c r="AM19" s="57" t="str">
        <f>IF(AND('Mapa final'!$Y$18="Alta",'Mapa final'!$AA$18="Catastrófico"),CONCATENATE("R4C",'Mapa final'!$O$18),"")</f>
        <v/>
      </c>
      <c r="AN19" s="83"/>
      <c r="AO19" s="348"/>
      <c r="AP19" s="349"/>
      <c r="AQ19" s="349"/>
      <c r="AR19" s="349"/>
      <c r="AS19" s="349"/>
      <c r="AT19" s="35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97"/>
      <c r="C20" s="297"/>
      <c r="D20" s="298"/>
      <c r="E20" s="338"/>
      <c r="F20" s="339"/>
      <c r="G20" s="339"/>
      <c r="H20" s="339"/>
      <c r="I20" s="339"/>
      <c r="J20" s="67" t="str">
        <f>IF(AND('Mapa final'!$Y$19="Alta",'Mapa final'!$AA$19="Leve"),CONCATENATE("R5C",'Mapa final'!$O$19),"")</f>
        <v/>
      </c>
      <c r="K20" s="68" t="str">
        <f>IF(AND('Mapa final'!$Y$20="Alta",'Mapa final'!$AA$20="Leve"),CONCATENATE("R5C",'Mapa final'!$O$20),"")</f>
        <v/>
      </c>
      <c r="L20" s="68" t="str">
        <f>IF(AND('Mapa final'!$Y$21="Alta",'Mapa final'!$AA$21="Leve"),CONCATENATE("R5C",'Mapa final'!$O$21),"")</f>
        <v/>
      </c>
      <c r="M20" s="68" t="str">
        <f>IF(AND('Mapa final'!$Y$22="Alta",'Mapa final'!$AA$22="Leve"),CONCATENATE("R5C",'Mapa final'!$O$22),"")</f>
        <v/>
      </c>
      <c r="N20" s="68" t="str">
        <f>IF(AND('Mapa final'!$Y$23="Alta",'Mapa final'!$AA$23="Leve"),CONCATENATE("R5C",'Mapa final'!$O$23),"")</f>
        <v/>
      </c>
      <c r="O20" s="69" t="str">
        <f>IF(AND('Mapa final'!$Y$24="Alta",'Mapa final'!$AA$24="Leve"),CONCATENATE("R5C",'Mapa final'!$O$24),"")</f>
        <v/>
      </c>
      <c r="P20" s="67" t="str">
        <f>IF(AND('Mapa final'!$Y$19="Alta",'Mapa final'!$AA$19="Menor"),CONCATENATE("R5C",'Mapa final'!$O$19),"")</f>
        <v/>
      </c>
      <c r="Q20" s="68" t="str">
        <f>IF(AND('Mapa final'!$Y$20="Alta",'Mapa final'!$AA$20="Menor"),CONCATENATE("R5C",'Mapa final'!$O$20),"")</f>
        <v/>
      </c>
      <c r="R20" s="68" t="str">
        <f>IF(AND('Mapa final'!$Y$21="Alta",'Mapa final'!$AA$21="Menor"),CONCATENATE("R5C",'Mapa final'!$O$21),"")</f>
        <v/>
      </c>
      <c r="S20" s="68" t="str">
        <f>IF(AND('Mapa final'!$Y$22="Alta",'Mapa final'!$AA$22="Menor"),CONCATENATE("R5C",'Mapa final'!$O$22),"")</f>
        <v/>
      </c>
      <c r="T20" s="68" t="str">
        <f>IF(AND('Mapa final'!$Y$23="Alta",'Mapa final'!$AA$23="Menor"),CONCATENATE("R5C",'Mapa final'!$O$23),"")</f>
        <v/>
      </c>
      <c r="U20" s="69" t="str">
        <f>IF(AND('Mapa final'!$Y$24="Alta",'Mapa final'!$AA$24="Menor"),CONCATENATE("R5C",'Mapa final'!$O$24),"")</f>
        <v/>
      </c>
      <c r="V20" s="52" t="str">
        <f>IF(AND('Mapa final'!$Y$19="Alta",'Mapa final'!$AA$19="Moderado"),CONCATENATE("R5C",'Mapa final'!$O$19),"")</f>
        <v/>
      </c>
      <c r="W20" s="53" t="str">
        <f>IF(AND('Mapa final'!$Y$20="Alta",'Mapa final'!$AA$20="Moderado"),CONCATENATE("R5C",'Mapa final'!$O$20),"")</f>
        <v/>
      </c>
      <c r="X20" s="53" t="str">
        <f>IF(AND('Mapa final'!$Y$21="Alta",'Mapa final'!$AA$21="Moderado"),CONCATENATE("R5C",'Mapa final'!$O$21),"")</f>
        <v/>
      </c>
      <c r="Y20" s="53" t="str">
        <f>IF(AND('Mapa final'!$Y$22="Alta",'Mapa final'!$AA$22="Moderado"),CONCATENATE("R5C",'Mapa final'!$O$22),"")</f>
        <v/>
      </c>
      <c r="Z20" s="53" t="str">
        <f>IF(AND('Mapa final'!$Y$23="Alta",'Mapa final'!$AA$23="Moderado"),CONCATENATE("R5C",'Mapa final'!$O$23),"")</f>
        <v/>
      </c>
      <c r="AA20" s="54" t="str">
        <f>IF(AND('Mapa final'!$Y$24="Alta",'Mapa final'!$AA$24="Moderado"),CONCATENATE("R5C",'Mapa final'!$O$24),"")</f>
        <v/>
      </c>
      <c r="AB20" s="52" t="str">
        <f>IF(AND('Mapa final'!$Y$19="Alta",'Mapa final'!$AA$19="Mayor"),CONCATENATE("R5C",'Mapa final'!$O$19),"")</f>
        <v/>
      </c>
      <c r="AC20" s="53" t="str">
        <f>IF(AND('Mapa final'!$Y$20="Alta",'Mapa final'!$AA$20="Mayor"),CONCATENATE("R5C",'Mapa final'!$O$20),"")</f>
        <v/>
      </c>
      <c r="AD20" s="53" t="str">
        <f>IF(AND('Mapa final'!$Y$21="Alta",'Mapa final'!$AA$21="Mayor"),CONCATENATE("R5C",'Mapa final'!$O$21),"")</f>
        <v/>
      </c>
      <c r="AE20" s="53" t="str">
        <f>IF(AND('Mapa final'!$Y$22="Alta",'Mapa final'!$AA$22="Mayor"),CONCATENATE("R5C",'Mapa final'!$O$22),"")</f>
        <v/>
      </c>
      <c r="AF20" s="53" t="str">
        <f>IF(AND('Mapa final'!$Y$23="Alta",'Mapa final'!$AA$23="Mayor"),CONCATENATE("R5C",'Mapa final'!$O$23),"")</f>
        <v/>
      </c>
      <c r="AG20" s="54" t="str">
        <f>IF(AND('Mapa final'!$Y$24="Alta",'Mapa final'!$AA$24="Mayor"),CONCATENATE("R5C",'Mapa final'!$O$24),"")</f>
        <v/>
      </c>
      <c r="AH20" s="55" t="str">
        <f>IF(AND('Mapa final'!$Y$19="Alta",'Mapa final'!$AA$19="Catastrófico"),CONCATENATE("R5C",'Mapa final'!$O$19),"")</f>
        <v/>
      </c>
      <c r="AI20" s="56" t="str">
        <f>IF(AND('Mapa final'!$Y$20="Alta",'Mapa final'!$AA$20="Catastrófico"),CONCATENATE("R5C",'Mapa final'!$O$20),"")</f>
        <v/>
      </c>
      <c r="AJ20" s="56" t="str">
        <f>IF(AND('Mapa final'!$Y$21="Alta",'Mapa final'!$AA$21="Catastrófico"),CONCATENATE("R5C",'Mapa final'!$O$21),"")</f>
        <v/>
      </c>
      <c r="AK20" s="56" t="str">
        <f>IF(AND('Mapa final'!$Y$22="Alta",'Mapa final'!$AA$22="Catastrófico"),CONCATENATE("R5C",'Mapa final'!$O$22),"")</f>
        <v/>
      </c>
      <c r="AL20" s="56" t="str">
        <f>IF(AND('Mapa final'!$Y$23="Alta",'Mapa final'!$AA$23="Catastrófico"),CONCATENATE("R5C",'Mapa final'!$O$23),"")</f>
        <v/>
      </c>
      <c r="AM20" s="57" t="str">
        <f>IF(AND('Mapa final'!$Y$24="Alta",'Mapa final'!$AA$24="Catastrófico"),CONCATENATE("R5C",'Mapa final'!$O$24),"")</f>
        <v/>
      </c>
      <c r="AN20" s="83"/>
      <c r="AO20" s="348"/>
      <c r="AP20" s="349"/>
      <c r="AQ20" s="349"/>
      <c r="AR20" s="349"/>
      <c r="AS20" s="349"/>
      <c r="AT20" s="35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97"/>
      <c r="C21" s="297"/>
      <c r="D21" s="298"/>
      <c r="E21" s="338"/>
      <c r="F21" s="339"/>
      <c r="G21" s="339"/>
      <c r="H21" s="339"/>
      <c r="I21" s="339"/>
      <c r="J21" s="67" t="str">
        <f>IF(AND('Mapa final'!$Y$25="Alta",'Mapa final'!$AA$25="Leve"),CONCATENATE("R6C",'Mapa final'!$O$25),"")</f>
        <v/>
      </c>
      <c r="K21" s="68" t="str">
        <f>IF(AND('Mapa final'!$Y$26="Alta",'Mapa final'!$AA$26="Leve"),CONCATENATE("R6C",'Mapa final'!$O$26),"")</f>
        <v/>
      </c>
      <c r="L21" s="68" t="str">
        <f>IF(AND('Mapa final'!$Y$27="Alta",'Mapa final'!$AA$27="Leve"),CONCATENATE("R6C",'Mapa final'!$O$27),"")</f>
        <v/>
      </c>
      <c r="M21" s="68" t="str">
        <f>IF(AND('Mapa final'!$Y$28="Alta",'Mapa final'!$AA$28="Leve"),CONCATENATE("R6C",'Mapa final'!$O$28),"")</f>
        <v/>
      </c>
      <c r="N21" s="68" t="str">
        <f>IF(AND('Mapa final'!$Y$29="Alta",'Mapa final'!$AA$29="Leve"),CONCATENATE("R6C",'Mapa final'!$O$29),"")</f>
        <v/>
      </c>
      <c r="O21" s="69" t="str">
        <f>IF(AND('Mapa final'!$Y$30="Alta",'Mapa final'!$AA$30="Leve"),CONCATENATE("R6C",'Mapa final'!$O$30),"")</f>
        <v/>
      </c>
      <c r="P21" s="67" t="str">
        <f>IF(AND('Mapa final'!$Y$25="Alta",'Mapa final'!$AA$25="Menor"),CONCATENATE("R6C",'Mapa final'!$O$25),"")</f>
        <v/>
      </c>
      <c r="Q21" s="68" t="str">
        <f>IF(AND('Mapa final'!$Y$26="Alta",'Mapa final'!$AA$26="Menor"),CONCATENATE("R6C",'Mapa final'!$O$26),"")</f>
        <v/>
      </c>
      <c r="R21" s="68" t="str">
        <f>IF(AND('Mapa final'!$Y$27="Alta",'Mapa final'!$AA$27="Menor"),CONCATENATE("R6C",'Mapa final'!$O$27),"")</f>
        <v/>
      </c>
      <c r="S21" s="68" t="str">
        <f>IF(AND('Mapa final'!$Y$28="Alta",'Mapa final'!$AA$28="Menor"),CONCATENATE("R6C",'Mapa final'!$O$28),"")</f>
        <v/>
      </c>
      <c r="T21" s="68" t="str">
        <f>IF(AND('Mapa final'!$Y$29="Alta",'Mapa final'!$AA$29="Menor"),CONCATENATE("R6C",'Mapa final'!$O$29),"")</f>
        <v/>
      </c>
      <c r="U21" s="69" t="str">
        <f>IF(AND('Mapa final'!$Y$30="Alta",'Mapa final'!$AA$30="Menor"),CONCATENATE("R6C",'Mapa final'!$O$30),"")</f>
        <v/>
      </c>
      <c r="V21" s="52" t="str">
        <f>IF(AND('Mapa final'!$Y$25="Alta",'Mapa final'!$AA$25="Moderado"),CONCATENATE("R6C",'Mapa final'!$O$25),"")</f>
        <v/>
      </c>
      <c r="W21" s="53" t="str">
        <f>IF(AND('Mapa final'!$Y$26="Alta",'Mapa final'!$AA$26="Moderado"),CONCATENATE("R6C",'Mapa final'!$O$26),"")</f>
        <v/>
      </c>
      <c r="X21" s="53" t="str">
        <f>IF(AND('Mapa final'!$Y$27="Alta",'Mapa final'!$AA$27="Moderado"),CONCATENATE("R6C",'Mapa final'!$O$27),"")</f>
        <v/>
      </c>
      <c r="Y21" s="53" t="str">
        <f>IF(AND('Mapa final'!$Y$28="Alta",'Mapa final'!$AA$28="Moderado"),CONCATENATE("R6C",'Mapa final'!$O$28),"")</f>
        <v/>
      </c>
      <c r="Z21" s="53" t="str">
        <f>IF(AND('Mapa final'!$Y$29="Alta",'Mapa final'!$AA$29="Moderado"),CONCATENATE("R6C",'Mapa final'!$O$29),"")</f>
        <v/>
      </c>
      <c r="AA21" s="54" t="str">
        <f>IF(AND('Mapa final'!$Y$30="Alta",'Mapa final'!$AA$30="Moderado"),CONCATENATE("R6C",'Mapa final'!$O$30),"")</f>
        <v/>
      </c>
      <c r="AB21" s="52" t="str">
        <f>IF(AND('Mapa final'!$Y$25="Alta",'Mapa final'!$AA$25="Mayor"),CONCATENATE("R6C",'Mapa final'!$O$25),"")</f>
        <v/>
      </c>
      <c r="AC21" s="53" t="str">
        <f>IF(AND('Mapa final'!$Y$26="Alta",'Mapa final'!$AA$26="Mayor"),CONCATENATE("R6C",'Mapa final'!$O$26),"")</f>
        <v/>
      </c>
      <c r="AD21" s="53" t="str">
        <f>IF(AND('Mapa final'!$Y$27="Alta",'Mapa final'!$AA$27="Mayor"),CONCATENATE("R6C",'Mapa final'!$O$27),"")</f>
        <v/>
      </c>
      <c r="AE21" s="53" t="str">
        <f>IF(AND('Mapa final'!$Y$28="Alta",'Mapa final'!$AA$28="Mayor"),CONCATENATE("R6C",'Mapa final'!$O$28),"")</f>
        <v/>
      </c>
      <c r="AF21" s="53" t="str">
        <f>IF(AND('Mapa final'!$Y$29="Alta",'Mapa final'!$AA$29="Mayor"),CONCATENATE("R6C",'Mapa final'!$O$29),"")</f>
        <v/>
      </c>
      <c r="AG21" s="54" t="str">
        <f>IF(AND('Mapa final'!$Y$30="Alta",'Mapa final'!$AA$30="Mayor"),CONCATENATE("R6C",'Mapa final'!$O$30),"")</f>
        <v/>
      </c>
      <c r="AH21" s="55" t="str">
        <f>IF(AND('Mapa final'!$Y$25="Alta",'Mapa final'!$AA$25="Catastrófico"),CONCATENATE("R6C",'Mapa final'!$O$25),"")</f>
        <v/>
      </c>
      <c r="AI21" s="56" t="str">
        <f>IF(AND('Mapa final'!$Y$26="Alta",'Mapa final'!$AA$26="Catastrófico"),CONCATENATE("R6C",'Mapa final'!$O$26),"")</f>
        <v/>
      </c>
      <c r="AJ21" s="56" t="str">
        <f>IF(AND('Mapa final'!$Y$27="Alta",'Mapa final'!$AA$27="Catastrófico"),CONCATENATE("R6C",'Mapa final'!$O$27),"")</f>
        <v/>
      </c>
      <c r="AK21" s="56" t="str">
        <f>IF(AND('Mapa final'!$Y$28="Alta",'Mapa final'!$AA$28="Catastrófico"),CONCATENATE("R6C",'Mapa final'!$O$28),"")</f>
        <v/>
      </c>
      <c r="AL21" s="56" t="str">
        <f>IF(AND('Mapa final'!$Y$29="Alta",'Mapa final'!$AA$29="Catastrófico"),CONCATENATE("R6C",'Mapa final'!$O$29),"")</f>
        <v/>
      </c>
      <c r="AM21" s="57" t="str">
        <f>IF(AND('Mapa final'!$Y$30="Alta",'Mapa final'!$AA$30="Catastrófico"),CONCATENATE("R6C",'Mapa final'!$O$30),"")</f>
        <v/>
      </c>
      <c r="AN21" s="83"/>
      <c r="AO21" s="348"/>
      <c r="AP21" s="349"/>
      <c r="AQ21" s="349"/>
      <c r="AR21" s="349"/>
      <c r="AS21" s="349"/>
      <c r="AT21" s="35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97"/>
      <c r="C22" s="297"/>
      <c r="D22" s="298"/>
      <c r="E22" s="338"/>
      <c r="F22" s="339"/>
      <c r="G22" s="339"/>
      <c r="H22" s="339"/>
      <c r="I22" s="339"/>
      <c r="J22" s="67" t="str">
        <f>IF(AND('Mapa final'!$Y$31="Alta",'Mapa final'!$AA$31="Leve"),CONCATENATE("R7C",'Mapa final'!$O$31),"")</f>
        <v/>
      </c>
      <c r="K22" s="68" t="str">
        <f>IF(AND('Mapa final'!$Y$32="Alta",'Mapa final'!$AA$32="Leve"),CONCATENATE("R7C",'Mapa final'!$O$32),"")</f>
        <v/>
      </c>
      <c r="L22" s="68" t="str">
        <f>IF(AND('Mapa final'!$Y$33="Alta",'Mapa final'!$AA$33="Leve"),CONCATENATE("R7C",'Mapa final'!$O$33),"")</f>
        <v/>
      </c>
      <c r="M22" s="68" t="str">
        <f>IF(AND('Mapa final'!$Y$34="Alta",'Mapa final'!$AA$34="Leve"),CONCATENATE("R7C",'Mapa final'!$O$34),"")</f>
        <v/>
      </c>
      <c r="N22" s="68" t="str">
        <f>IF(AND('Mapa final'!$Y$35="Alta",'Mapa final'!$AA$35="Leve"),CONCATENATE("R7C",'Mapa final'!$O$35),"")</f>
        <v/>
      </c>
      <c r="O22" s="69" t="str">
        <f>IF(AND('Mapa final'!$Y$36="Alta",'Mapa final'!$AA$36="Leve"),CONCATENATE("R7C",'Mapa final'!$O$36),"")</f>
        <v/>
      </c>
      <c r="P22" s="67" t="str">
        <f>IF(AND('Mapa final'!$Y$31="Alta",'Mapa final'!$AA$31="Menor"),CONCATENATE("R7C",'Mapa final'!$O$31),"")</f>
        <v/>
      </c>
      <c r="Q22" s="68" t="str">
        <f>IF(AND('Mapa final'!$Y$32="Alta",'Mapa final'!$AA$32="Menor"),CONCATENATE("R7C",'Mapa final'!$O$32),"")</f>
        <v/>
      </c>
      <c r="R22" s="68" t="str">
        <f>IF(AND('Mapa final'!$Y$33="Alta",'Mapa final'!$AA$33="Menor"),CONCATENATE("R7C",'Mapa final'!$O$33),"")</f>
        <v/>
      </c>
      <c r="S22" s="68" t="str">
        <f>IF(AND('Mapa final'!$Y$34="Alta",'Mapa final'!$AA$34="Menor"),CONCATENATE("R7C",'Mapa final'!$O$34),"")</f>
        <v/>
      </c>
      <c r="T22" s="68" t="str">
        <f>IF(AND('Mapa final'!$Y$35="Alta",'Mapa final'!$AA$35="Menor"),CONCATENATE("R7C",'Mapa final'!$O$35),"")</f>
        <v/>
      </c>
      <c r="U22" s="69" t="str">
        <f>IF(AND('Mapa final'!$Y$36="Alta",'Mapa final'!$AA$36="Menor"),CONCATENATE("R7C",'Mapa final'!$O$36),"")</f>
        <v/>
      </c>
      <c r="V22" s="52" t="str">
        <f>IF(AND('Mapa final'!$Y$31="Alta",'Mapa final'!$AA$31="Moderado"),CONCATENATE("R7C",'Mapa final'!$O$31),"")</f>
        <v/>
      </c>
      <c r="W22" s="53" t="str">
        <f>IF(AND('Mapa final'!$Y$32="Alta",'Mapa final'!$AA$32="Moderado"),CONCATENATE("R7C",'Mapa final'!$O$32),"")</f>
        <v/>
      </c>
      <c r="X22" s="53" t="str">
        <f>IF(AND('Mapa final'!$Y$33="Alta",'Mapa final'!$AA$33="Moderado"),CONCATENATE("R7C",'Mapa final'!$O$33),"")</f>
        <v/>
      </c>
      <c r="Y22" s="53" t="str">
        <f>IF(AND('Mapa final'!$Y$34="Alta",'Mapa final'!$AA$34="Moderado"),CONCATENATE("R7C",'Mapa final'!$O$34),"")</f>
        <v/>
      </c>
      <c r="Z22" s="53" t="str">
        <f>IF(AND('Mapa final'!$Y$35="Alta",'Mapa final'!$AA$35="Moderado"),CONCATENATE("R7C",'Mapa final'!$O$35),"")</f>
        <v/>
      </c>
      <c r="AA22" s="54" t="str">
        <f>IF(AND('Mapa final'!$Y$36="Alta",'Mapa final'!$AA$36="Moderado"),CONCATENATE("R7C",'Mapa final'!$O$36),"")</f>
        <v/>
      </c>
      <c r="AB22" s="52" t="str">
        <f>IF(AND('Mapa final'!$Y$31="Alta",'Mapa final'!$AA$31="Mayor"),CONCATENATE("R7C",'Mapa final'!$O$31),"")</f>
        <v/>
      </c>
      <c r="AC22" s="53" t="str">
        <f>IF(AND('Mapa final'!$Y$32="Alta",'Mapa final'!$AA$32="Mayor"),CONCATENATE("R7C",'Mapa final'!$O$32),"")</f>
        <v/>
      </c>
      <c r="AD22" s="53" t="str">
        <f>IF(AND('Mapa final'!$Y$33="Alta",'Mapa final'!$AA$33="Mayor"),CONCATENATE("R7C",'Mapa final'!$O$33),"")</f>
        <v/>
      </c>
      <c r="AE22" s="53" t="str">
        <f>IF(AND('Mapa final'!$Y$34="Alta",'Mapa final'!$AA$34="Mayor"),CONCATENATE("R7C",'Mapa final'!$O$34),"")</f>
        <v/>
      </c>
      <c r="AF22" s="53" t="str">
        <f>IF(AND('Mapa final'!$Y$35="Alta",'Mapa final'!$AA$35="Mayor"),CONCATENATE("R7C",'Mapa final'!$O$35),"")</f>
        <v/>
      </c>
      <c r="AG22" s="54" t="str">
        <f>IF(AND('Mapa final'!$Y$36="Alta",'Mapa final'!$AA$36="Mayor"),CONCATENATE("R7C",'Mapa final'!$O$36),"")</f>
        <v/>
      </c>
      <c r="AH22" s="55" t="str">
        <f>IF(AND('Mapa final'!$Y$31="Alta",'Mapa final'!$AA$31="Catastrófico"),CONCATENATE("R7C",'Mapa final'!$O$31),"")</f>
        <v/>
      </c>
      <c r="AI22" s="56" t="str">
        <f>IF(AND('Mapa final'!$Y$32="Alta",'Mapa final'!$AA$32="Catastrófico"),CONCATENATE("R7C",'Mapa final'!$O$32),"")</f>
        <v/>
      </c>
      <c r="AJ22" s="56" t="str">
        <f>IF(AND('Mapa final'!$Y$33="Alta",'Mapa final'!$AA$33="Catastrófico"),CONCATENATE("R7C",'Mapa final'!$O$33),"")</f>
        <v/>
      </c>
      <c r="AK22" s="56" t="str">
        <f>IF(AND('Mapa final'!$Y$34="Alta",'Mapa final'!$AA$34="Catastrófico"),CONCATENATE("R7C",'Mapa final'!$O$34),"")</f>
        <v/>
      </c>
      <c r="AL22" s="56" t="str">
        <f>IF(AND('Mapa final'!$Y$35="Alta",'Mapa final'!$AA$35="Catastrófico"),CONCATENATE("R7C",'Mapa final'!$O$35),"")</f>
        <v/>
      </c>
      <c r="AM22" s="57" t="str">
        <f>IF(AND('Mapa final'!$Y$36="Alta",'Mapa final'!$AA$36="Catastrófico"),CONCATENATE("R7C",'Mapa final'!$O$36),"")</f>
        <v/>
      </c>
      <c r="AN22" s="83"/>
      <c r="AO22" s="348"/>
      <c r="AP22" s="349"/>
      <c r="AQ22" s="349"/>
      <c r="AR22" s="349"/>
      <c r="AS22" s="349"/>
      <c r="AT22" s="35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97"/>
      <c r="C23" s="297"/>
      <c r="D23" s="298"/>
      <c r="E23" s="338"/>
      <c r="F23" s="339"/>
      <c r="G23" s="339"/>
      <c r="H23" s="339"/>
      <c r="I23" s="339"/>
      <c r="J23" s="67" t="str">
        <f>IF(AND('Mapa final'!$Y$37="Alta",'Mapa final'!$AA$37="Leve"),CONCATENATE("R8C",'Mapa final'!$O$37),"")</f>
        <v/>
      </c>
      <c r="K23" s="68" t="str">
        <f>IF(AND('Mapa final'!$Y$38="Alta",'Mapa final'!$AA$38="Leve"),CONCATENATE("R8C",'Mapa final'!$O$38),"")</f>
        <v/>
      </c>
      <c r="L23" s="68" t="str">
        <f>IF(AND('Mapa final'!$Y$39="Alta",'Mapa final'!$AA$39="Leve"),CONCATENATE("R8C",'Mapa final'!$O$39),"")</f>
        <v/>
      </c>
      <c r="M23" s="68" t="str">
        <f>IF(AND('Mapa final'!$Y$40="Alta",'Mapa final'!$AA$40="Leve"),CONCATENATE("R8C",'Mapa final'!$O$40),"")</f>
        <v/>
      </c>
      <c r="N23" s="68" t="str">
        <f>IF(AND('Mapa final'!$Y$41="Alta",'Mapa final'!$AA$41="Leve"),CONCATENATE("R8C",'Mapa final'!$O$41),"")</f>
        <v/>
      </c>
      <c r="O23" s="69" t="str">
        <f>IF(AND('Mapa final'!$Y$42="Alta",'Mapa final'!$AA$42="Leve"),CONCATENATE("R8C",'Mapa final'!$O$42),"")</f>
        <v/>
      </c>
      <c r="P23" s="67" t="str">
        <f>IF(AND('Mapa final'!$Y$37="Alta",'Mapa final'!$AA$37="Menor"),CONCATENATE("R8C",'Mapa final'!$O$37),"")</f>
        <v/>
      </c>
      <c r="Q23" s="68" t="str">
        <f>IF(AND('Mapa final'!$Y$38="Alta",'Mapa final'!$AA$38="Menor"),CONCATENATE("R8C",'Mapa final'!$O$38),"")</f>
        <v/>
      </c>
      <c r="R23" s="68" t="str">
        <f>IF(AND('Mapa final'!$Y$39="Alta",'Mapa final'!$AA$39="Menor"),CONCATENATE("R8C",'Mapa final'!$O$39),"")</f>
        <v/>
      </c>
      <c r="S23" s="68" t="str">
        <f>IF(AND('Mapa final'!$Y$40="Alta",'Mapa final'!$AA$40="Menor"),CONCATENATE("R8C",'Mapa final'!$O$40),"")</f>
        <v/>
      </c>
      <c r="T23" s="68" t="str">
        <f>IF(AND('Mapa final'!$Y$41="Alta",'Mapa final'!$AA$41="Menor"),CONCATENATE("R8C",'Mapa final'!$O$41),"")</f>
        <v/>
      </c>
      <c r="U23" s="69" t="str">
        <f>IF(AND('Mapa final'!$Y$42="Alta",'Mapa final'!$AA$42="Menor"),CONCATENATE("R8C",'Mapa final'!$O$42),"")</f>
        <v/>
      </c>
      <c r="V23" s="52" t="str">
        <f>IF(AND('Mapa final'!$Y$37="Alta",'Mapa final'!$AA$37="Moderado"),CONCATENATE("R8C",'Mapa final'!$O$37),"")</f>
        <v/>
      </c>
      <c r="W23" s="53" t="str">
        <f>IF(AND('Mapa final'!$Y$38="Alta",'Mapa final'!$AA$38="Moderado"),CONCATENATE("R8C",'Mapa final'!$O$38),"")</f>
        <v/>
      </c>
      <c r="X23" s="53" t="str">
        <f>IF(AND('Mapa final'!$Y$39="Alta",'Mapa final'!$AA$39="Moderado"),CONCATENATE("R8C",'Mapa final'!$O$39),"")</f>
        <v/>
      </c>
      <c r="Y23" s="53" t="str">
        <f>IF(AND('Mapa final'!$Y$40="Alta",'Mapa final'!$AA$40="Moderado"),CONCATENATE("R8C",'Mapa final'!$O$40),"")</f>
        <v/>
      </c>
      <c r="Z23" s="53" t="str">
        <f>IF(AND('Mapa final'!$Y$41="Alta",'Mapa final'!$AA$41="Moderado"),CONCATENATE("R8C",'Mapa final'!$O$41),"")</f>
        <v/>
      </c>
      <c r="AA23" s="54" t="str">
        <f>IF(AND('Mapa final'!$Y$42="Alta",'Mapa final'!$AA$42="Moderado"),CONCATENATE("R8C",'Mapa final'!$O$42),"")</f>
        <v/>
      </c>
      <c r="AB23" s="52" t="str">
        <f>IF(AND('Mapa final'!$Y$37="Alta",'Mapa final'!$AA$37="Mayor"),CONCATENATE("R8C",'Mapa final'!$O$37),"")</f>
        <v/>
      </c>
      <c r="AC23" s="53" t="str">
        <f>IF(AND('Mapa final'!$Y$38="Alta",'Mapa final'!$AA$38="Mayor"),CONCATENATE("R8C",'Mapa final'!$O$38),"")</f>
        <v/>
      </c>
      <c r="AD23" s="53" t="str">
        <f>IF(AND('Mapa final'!$Y$39="Alta",'Mapa final'!$AA$39="Mayor"),CONCATENATE("R8C",'Mapa final'!$O$39),"")</f>
        <v/>
      </c>
      <c r="AE23" s="53" t="str">
        <f>IF(AND('Mapa final'!$Y$40="Alta",'Mapa final'!$AA$40="Mayor"),CONCATENATE("R8C",'Mapa final'!$O$40),"")</f>
        <v/>
      </c>
      <c r="AF23" s="53" t="str">
        <f>IF(AND('Mapa final'!$Y$41="Alta",'Mapa final'!$AA$41="Mayor"),CONCATENATE("R8C",'Mapa final'!$O$41),"")</f>
        <v/>
      </c>
      <c r="AG23" s="54" t="str">
        <f>IF(AND('Mapa final'!$Y$42="Alta",'Mapa final'!$AA$42="Mayor"),CONCATENATE("R8C",'Mapa final'!$O$42),"")</f>
        <v/>
      </c>
      <c r="AH23" s="55" t="str">
        <f>IF(AND('Mapa final'!$Y$37="Alta",'Mapa final'!$AA$37="Catastrófico"),CONCATENATE("R8C",'Mapa final'!$O$37),"")</f>
        <v/>
      </c>
      <c r="AI23" s="56" t="str">
        <f>IF(AND('Mapa final'!$Y$38="Alta",'Mapa final'!$AA$38="Catastrófico"),CONCATENATE("R8C",'Mapa final'!$O$38),"")</f>
        <v/>
      </c>
      <c r="AJ23" s="56" t="str">
        <f>IF(AND('Mapa final'!$Y$39="Alta",'Mapa final'!$AA$39="Catastrófico"),CONCATENATE("R8C",'Mapa final'!$O$39),"")</f>
        <v/>
      </c>
      <c r="AK23" s="56" t="str">
        <f>IF(AND('Mapa final'!$Y$40="Alta",'Mapa final'!$AA$40="Catastrófico"),CONCATENATE("R8C",'Mapa final'!$O$40),"")</f>
        <v/>
      </c>
      <c r="AL23" s="56" t="str">
        <f>IF(AND('Mapa final'!$Y$41="Alta",'Mapa final'!$AA$41="Catastrófico"),CONCATENATE("R8C",'Mapa final'!$O$41),"")</f>
        <v/>
      </c>
      <c r="AM23" s="57" t="str">
        <f>IF(AND('Mapa final'!$Y$42="Alta",'Mapa final'!$AA$42="Catastrófico"),CONCATENATE("R8C",'Mapa final'!$O$42),"")</f>
        <v/>
      </c>
      <c r="AN23" s="83"/>
      <c r="AO23" s="348"/>
      <c r="AP23" s="349"/>
      <c r="AQ23" s="349"/>
      <c r="AR23" s="349"/>
      <c r="AS23" s="349"/>
      <c r="AT23" s="35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97"/>
      <c r="C24" s="297"/>
      <c r="D24" s="298"/>
      <c r="E24" s="338"/>
      <c r="F24" s="339"/>
      <c r="G24" s="339"/>
      <c r="H24" s="339"/>
      <c r="I24" s="339"/>
      <c r="J24" s="67" t="str">
        <f>IF(AND('Mapa final'!$Y$43="Alta",'Mapa final'!$AA$43="Leve"),CONCATENATE("R9C",'Mapa final'!$O$43),"")</f>
        <v/>
      </c>
      <c r="K24" s="68" t="str">
        <f>IF(AND('Mapa final'!$Y$44="Alta",'Mapa final'!$AA$44="Leve"),CONCATENATE("R9C",'Mapa final'!$O$44),"")</f>
        <v/>
      </c>
      <c r="L24" s="68" t="str">
        <f>IF(AND('Mapa final'!$Y$45="Alta",'Mapa final'!$AA$45="Leve"),CONCATENATE("R9C",'Mapa final'!$O$45),"")</f>
        <v/>
      </c>
      <c r="M24" s="68" t="str">
        <f>IF(AND('Mapa final'!$Y$46="Alta",'Mapa final'!$AA$46="Leve"),CONCATENATE("R9C",'Mapa final'!$O$46),"")</f>
        <v/>
      </c>
      <c r="N24" s="68" t="str">
        <f>IF(AND('Mapa final'!$Y$47="Alta",'Mapa final'!$AA$47="Leve"),CONCATENATE("R9C",'Mapa final'!$O$47),"")</f>
        <v/>
      </c>
      <c r="O24" s="69" t="str">
        <f>IF(AND('Mapa final'!$Y$48="Alta",'Mapa final'!$AA$48="Leve"),CONCATENATE("R9C",'Mapa final'!$O$48),"")</f>
        <v/>
      </c>
      <c r="P24" s="67" t="str">
        <f>IF(AND('Mapa final'!$Y$43="Alta",'Mapa final'!$AA$43="Menor"),CONCATENATE("R9C",'Mapa final'!$O$43),"")</f>
        <v/>
      </c>
      <c r="Q24" s="68" t="str">
        <f>IF(AND('Mapa final'!$Y$44="Alta",'Mapa final'!$AA$44="Menor"),CONCATENATE("R9C",'Mapa final'!$O$44),"")</f>
        <v/>
      </c>
      <c r="R24" s="68" t="str">
        <f>IF(AND('Mapa final'!$Y$45="Alta",'Mapa final'!$AA$45="Menor"),CONCATENATE("R9C",'Mapa final'!$O$45),"")</f>
        <v/>
      </c>
      <c r="S24" s="68" t="str">
        <f>IF(AND('Mapa final'!$Y$46="Alta",'Mapa final'!$AA$46="Menor"),CONCATENATE("R9C",'Mapa final'!$O$46),"")</f>
        <v/>
      </c>
      <c r="T24" s="68" t="str">
        <f>IF(AND('Mapa final'!$Y$47="Alta",'Mapa final'!$AA$47="Menor"),CONCATENATE("R9C",'Mapa final'!$O$47),"")</f>
        <v/>
      </c>
      <c r="U24" s="69" t="str">
        <f>IF(AND('Mapa final'!$Y$48="Alta",'Mapa final'!$AA$48="Menor"),CONCATENATE("R9C",'Mapa final'!$O$48),"")</f>
        <v/>
      </c>
      <c r="V24" s="52" t="str">
        <f>IF(AND('Mapa final'!$Y$43="Alta",'Mapa final'!$AA$43="Moderado"),CONCATENATE("R9C",'Mapa final'!$O$43),"")</f>
        <v/>
      </c>
      <c r="W24" s="53" t="str">
        <f>IF(AND('Mapa final'!$Y$44="Alta",'Mapa final'!$AA$44="Moderado"),CONCATENATE("R9C",'Mapa final'!$O$44),"")</f>
        <v/>
      </c>
      <c r="X24" s="53" t="str">
        <f>IF(AND('Mapa final'!$Y$45="Alta",'Mapa final'!$AA$45="Moderado"),CONCATENATE("R9C",'Mapa final'!$O$45),"")</f>
        <v/>
      </c>
      <c r="Y24" s="53" t="str">
        <f>IF(AND('Mapa final'!$Y$46="Alta",'Mapa final'!$AA$46="Moderado"),CONCATENATE("R9C",'Mapa final'!$O$46),"")</f>
        <v/>
      </c>
      <c r="Z24" s="53" t="str">
        <f>IF(AND('Mapa final'!$Y$47="Alta",'Mapa final'!$AA$47="Moderado"),CONCATENATE("R9C",'Mapa final'!$O$47),"")</f>
        <v/>
      </c>
      <c r="AA24" s="54" t="str">
        <f>IF(AND('Mapa final'!$Y$48="Alta",'Mapa final'!$AA$48="Moderado"),CONCATENATE("R9C",'Mapa final'!$O$48),"")</f>
        <v/>
      </c>
      <c r="AB24" s="52" t="str">
        <f>IF(AND('Mapa final'!$Y$43="Alta",'Mapa final'!$AA$43="Mayor"),CONCATENATE("R9C",'Mapa final'!$O$43),"")</f>
        <v/>
      </c>
      <c r="AC24" s="53" t="str">
        <f>IF(AND('Mapa final'!$Y$44="Alta",'Mapa final'!$AA$44="Mayor"),CONCATENATE("R9C",'Mapa final'!$O$44),"")</f>
        <v/>
      </c>
      <c r="AD24" s="53" t="str">
        <f>IF(AND('Mapa final'!$Y$45="Alta",'Mapa final'!$AA$45="Mayor"),CONCATENATE("R9C",'Mapa final'!$O$45),"")</f>
        <v/>
      </c>
      <c r="AE24" s="53" t="str">
        <f>IF(AND('Mapa final'!$Y$46="Alta",'Mapa final'!$AA$46="Mayor"),CONCATENATE("R9C",'Mapa final'!$O$46),"")</f>
        <v/>
      </c>
      <c r="AF24" s="53" t="str">
        <f>IF(AND('Mapa final'!$Y$47="Alta",'Mapa final'!$AA$47="Mayor"),CONCATENATE("R9C",'Mapa final'!$O$47),"")</f>
        <v/>
      </c>
      <c r="AG24" s="54" t="str">
        <f>IF(AND('Mapa final'!$Y$48="Alta",'Mapa final'!$AA$48="Mayor"),CONCATENATE("R9C",'Mapa final'!$O$48),"")</f>
        <v/>
      </c>
      <c r="AH24" s="55" t="str">
        <f>IF(AND('Mapa final'!$Y$43="Alta",'Mapa final'!$AA$43="Catastrófico"),CONCATENATE("R9C",'Mapa final'!$O$43),"")</f>
        <v/>
      </c>
      <c r="AI24" s="56" t="str">
        <f>IF(AND('Mapa final'!$Y$44="Alta",'Mapa final'!$AA$44="Catastrófico"),CONCATENATE("R9C",'Mapa final'!$O$44),"")</f>
        <v/>
      </c>
      <c r="AJ24" s="56" t="str">
        <f>IF(AND('Mapa final'!$Y$45="Alta",'Mapa final'!$AA$45="Catastrófico"),CONCATENATE("R9C",'Mapa final'!$O$45),"")</f>
        <v/>
      </c>
      <c r="AK24" s="56" t="str">
        <f>IF(AND('Mapa final'!$Y$46="Alta",'Mapa final'!$AA$46="Catastrófico"),CONCATENATE("R9C",'Mapa final'!$O$46),"")</f>
        <v/>
      </c>
      <c r="AL24" s="56" t="str">
        <f>IF(AND('Mapa final'!$Y$47="Alta",'Mapa final'!$AA$47="Catastrófico"),CONCATENATE("R9C",'Mapa final'!$O$47),"")</f>
        <v/>
      </c>
      <c r="AM24" s="57" t="str">
        <f>IF(AND('Mapa final'!$Y$48="Alta",'Mapa final'!$AA$48="Catastrófico"),CONCATENATE("R9C",'Mapa final'!$O$48),"")</f>
        <v/>
      </c>
      <c r="AN24" s="83"/>
      <c r="AO24" s="348"/>
      <c r="AP24" s="349"/>
      <c r="AQ24" s="349"/>
      <c r="AR24" s="349"/>
      <c r="AS24" s="349"/>
      <c r="AT24" s="35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97"/>
      <c r="C25" s="297"/>
      <c r="D25" s="298"/>
      <c r="E25" s="341"/>
      <c r="F25" s="342"/>
      <c r="G25" s="342"/>
      <c r="H25" s="342"/>
      <c r="I25" s="342"/>
      <c r="J25" s="70" t="str">
        <f>IF(AND('Mapa final'!$Y$49="Alta",'Mapa final'!$AA$49="Leve"),CONCATENATE("R10C",'Mapa final'!$O$49),"")</f>
        <v/>
      </c>
      <c r="K25" s="71" t="str">
        <f>IF(AND('Mapa final'!$Y$50="Alta",'Mapa final'!$AA$50="Leve"),CONCATENATE("R10C",'Mapa final'!$O$50),"")</f>
        <v/>
      </c>
      <c r="L25" s="71" t="str">
        <f>IF(AND('Mapa final'!$Y$51="Alta",'Mapa final'!$AA$51="Leve"),CONCATENATE("R10C",'Mapa final'!$O$51),"")</f>
        <v/>
      </c>
      <c r="M25" s="71" t="str">
        <f>IF(AND('Mapa final'!$Y$52="Alta",'Mapa final'!$AA$52="Leve"),CONCATENATE("R10C",'Mapa final'!$O$52),"")</f>
        <v/>
      </c>
      <c r="N25" s="71" t="str">
        <f>IF(AND('Mapa final'!$Y$53="Alta",'Mapa final'!$AA$53="Leve"),CONCATENATE("R10C",'Mapa final'!$O$53),"")</f>
        <v/>
      </c>
      <c r="O25" s="72" t="str">
        <f>IF(AND('Mapa final'!$Y$54="Alta",'Mapa final'!$AA$54="Leve"),CONCATENATE("R10C",'Mapa final'!$O$54),"")</f>
        <v/>
      </c>
      <c r="P25" s="70" t="str">
        <f>IF(AND('Mapa final'!$Y$49="Alta",'Mapa final'!$AA$49="Menor"),CONCATENATE("R10C",'Mapa final'!$O$49),"")</f>
        <v/>
      </c>
      <c r="Q25" s="71" t="str">
        <f>IF(AND('Mapa final'!$Y$50="Alta",'Mapa final'!$AA$50="Menor"),CONCATENATE("R10C",'Mapa final'!$O$50),"")</f>
        <v/>
      </c>
      <c r="R25" s="71" t="str">
        <f>IF(AND('Mapa final'!$Y$51="Alta",'Mapa final'!$AA$51="Menor"),CONCATENATE("R10C",'Mapa final'!$O$51),"")</f>
        <v/>
      </c>
      <c r="S25" s="71" t="str">
        <f>IF(AND('Mapa final'!$Y$52="Alta",'Mapa final'!$AA$52="Menor"),CONCATENATE("R10C",'Mapa final'!$O$52),"")</f>
        <v/>
      </c>
      <c r="T25" s="71" t="str">
        <f>IF(AND('Mapa final'!$Y$53="Alta",'Mapa final'!$AA$53="Menor"),CONCATENATE("R10C",'Mapa final'!$O$53),"")</f>
        <v/>
      </c>
      <c r="U25" s="72" t="str">
        <f>IF(AND('Mapa final'!$Y$54="Alta",'Mapa final'!$AA$54="Menor"),CONCATENATE("R10C",'Mapa final'!$O$54),"")</f>
        <v/>
      </c>
      <c r="V25" s="58" t="str">
        <f>IF(AND('Mapa final'!$Y$49="Alta",'Mapa final'!$AA$49="Moderado"),CONCATENATE("R10C",'Mapa final'!$O$49),"")</f>
        <v/>
      </c>
      <c r="W25" s="59" t="str">
        <f>IF(AND('Mapa final'!$Y$50="Alta",'Mapa final'!$AA$50="Moderado"),CONCATENATE("R10C",'Mapa final'!$O$50),"")</f>
        <v/>
      </c>
      <c r="X25" s="59" t="str">
        <f>IF(AND('Mapa final'!$Y$51="Alta",'Mapa final'!$AA$51="Moderado"),CONCATENATE("R10C",'Mapa final'!$O$51),"")</f>
        <v/>
      </c>
      <c r="Y25" s="59" t="str">
        <f>IF(AND('Mapa final'!$Y$52="Alta",'Mapa final'!$AA$52="Moderado"),CONCATENATE("R10C",'Mapa final'!$O$52),"")</f>
        <v/>
      </c>
      <c r="Z25" s="59" t="str">
        <f>IF(AND('Mapa final'!$Y$53="Alta",'Mapa final'!$AA$53="Moderado"),CONCATENATE("R10C",'Mapa final'!$O$53),"")</f>
        <v/>
      </c>
      <c r="AA25" s="60" t="str">
        <f>IF(AND('Mapa final'!$Y$54="Alta",'Mapa final'!$AA$54="Moderado"),CONCATENATE("R10C",'Mapa final'!$O$54),"")</f>
        <v/>
      </c>
      <c r="AB25" s="58" t="str">
        <f>IF(AND('Mapa final'!$Y$49="Alta",'Mapa final'!$AA$49="Mayor"),CONCATENATE("R10C",'Mapa final'!$O$49),"")</f>
        <v/>
      </c>
      <c r="AC25" s="59" t="str">
        <f>IF(AND('Mapa final'!$Y$50="Alta",'Mapa final'!$AA$50="Mayor"),CONCATENATE("R10C",'Mapa final'!$O$50),"")</f>
        <v/>
      </c>
      <c r="AD25" s="59" t="str">
        <f>IF(AND('Mapa final'!$Y$51="Alta",'Mapa final'!$AA$51="Mayor"),CONCATENATE("R10C",'Mapa final'!$O$51),"")</f>
        <v/>
      </c>
      <c r="AE25" s="59" t="str">
        <f>IF(AND('Mapa final'!$Y$52="Alta",'Mapa final'!$AA$52="Mayor"),CONCATENATE("R10C",'Mapa final'!$O$52),"")</f>
        <v/>
      </c>
      <c r="AF25" s="59" t="str">
        <f>IF(AND('Mapa final'!$Y$53="Alta",'Mapa final'!$AA$53="Mayor"),CONCATENATE("R10C",'Mapa final'!$O$53),"")</f>
        <v/>
      </c>
      <c r="AG25" s="60" t="str">
        <f>IF(AND('Mapa final'!$Y$54="Alta",'Mapa final'!$AA$54="Mayor"),CONCATENATE("R10C",'Mapa final'!$O$54),"")</f>
        <v/>
      </c>
      <c r="AH25" s="61" t="str">
        <f>IF(AND('Mapa final'!$Y$49="Alta",'Mapa final'!$AA$49="Catastrófico"),CONCATENATE("R10C",'Mapa final'!$O$49),"")</f>
        <v/>
      </c>
      <c r="AI25" s="62" t="str">
        <f>IF(AND('Mapa final'!$Y$50="Alta",'Mapa final'!$AA$50="Catastrófico"),CONCATENATE("R10C",'Mapa final'!$O$50),"")</f>
        <v/>
      </c>
      <c r="AJ25" s="62" t="str">
        <f>IF(AND('Mapa final'!$Y$51="Alta",'Mapa final'!$AA$51="Catastrófico"),CONCATENATE("R10C",'Mapa final'!$O$51),"")</f>
        <v/>
      </c>
      <c r="AK25" s="62" t="str">
        <f>IF(AND('Mapa final'!$Y$52="Alta",'Mapa final'!$AA$52="Catastrófico"),CONCATENATE("R10C",'Mapa final'!$O$52),"")</f>
        <v/>
      </c>
      <c r="AL25" s="62" t="str">
        <f>IF(AND('Mapa final'!$Y$53="Alta",'Mapa final'!$AA$53="Catastrófico"),CONCATENATE("R10C",'Mapa final'!$O$53),"")</f>
        <v/>
      </c>
      <c r="AM25" s="63" t="str">
        <f>IF(AND('Mapa final'!$Y$54="Alta",'Mapa final'!$AA$54="Catastrófico"),CONCATENATE("R10C",'Mapa final'!$O$54),"")</f>
        <v/>
      </c>
      <c r="AN25" s="83"/>
      <c r="AO25" s="351"/>
      <c r="AP25" s="352"/>
      <c r="AQ25" s="352"/>
      <c r="AR25" s="352"/>
      <c r="AS25" s="352"/>
      <c r="AT25" s="35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97"/>
      <c r="C26" s="297"/>
      <c r="D26" s="298"/>
      <c r="E26" s="335" t="s">
        <v>117</v>
      </c>
      <c r="F26" s="336"/>
      <c r="G26" s="336"/>
      <c r="H26" s="336"/>
      <c r="I26" s="337"/>
      <c r="J26" s="64" t="str">
        <f>IF(AND('Mapa final'!$Y$10="Media",'Mapa final'!$AA$10="Leve"),CONCATENATE("R1C",'Mapa final'!$O$10),"")</f>
        <v/>
      </c>
      <c r="K26" s="65" t="e">
        <f>IF(AND('Mapa final'!#REF!="Media",'Mapa final'!#REF!="Leve"),CONCATENATE("R1C",'Mapa final'!#REF!),"")</f>
        <v>#REF!</v>
      </c>
      <c r="L26" s="65" t="e">
        <f>IF(AND('Mapa final'!#REF!="Media",'Mapa final'!#REF!="Leve"),CONCATENATE("R1C",'Mapa final'!#REF!),"")</f>
        <v>#REF!</v>
      </c>
      <c r="M26" s="65" t="e">
        <f>IF(AND('Mapa final'!#REF!="Media",'Mapa final'!#REF!="Leve"),CONCATENATE("R1C",'Mapa final'!#REF!),"")</f>
        <v>#REF!</v>
      </c>
      <c r="N26" s="65" t="e">
        <f>IF(AND('Mapa final'!#REF!="Media",'Mapa final'!#REF!="Leve"),CONCATENATE("R1C",'Mapa final'!#REF!),"")</f>
        <v>#REF!</v>
      </c>
      <c r="O26" s="66" t="e">
        <f>IF(AND('Mapa final'!#REF!="Media",'Mapa final'!#REF!="Leve"),CONCATENATE("R1C",'Mapa final'!#REF!),"")</f>
        <v>#REF!</v>
      </c>
      <c r="P26" s="64" t="str">
        <f>IF(AND('Mapa final'!$Y$10="Media",'Mapa final'!$AA$10="Menor"),CONCATENATE("R1C",'Mapa final'!$O$10),"")</f>
        <v/>
      </c>
      <c r="Q26" s="65" t="e">
        <f>IF(AND('Mapa final'!#REF!="Media",'Mapa final'!#REF!="Menor"),CONCATENATE("R1C",'Mapa final'!#REF!),"")</f>
        <v>#REF!</v>
      </c>
      <c r="R26" s="65" t="e">
        <f>IF(AND('Mapa final'!#REF!="Media",'Mapa final'!#REF!="Menor"),CONCATENATE("R1C",'Mapa final'!#REF!),"")</f>
        <v>#REF!</v>
      </c>
      <c r="S26" s="65" t="e">
        <f>IF(AND('Mapa final'!#REF!="Media",'Mapa final'!#REF!="Menor"),CONCATENATE("R1C",'Mapa final'!#REF!),"")</f>
        <v>#REF!</v>
      </c>
      <c r="T26" s="65" t="e">
        <f>IF(AND('Mapa final'!#REF!="Media",'Mapa final'!#REF!="Menor"),CONCATENATE("R1C",'Mapa final'!#REF!),"")</f>
        <v>#REF!</v>
      </c>
      <c r="U26" s="66" t="e">
        <f>IF(AND('Mapa final'!#REF!="Media",'Mapa final'!#REF!="Menor"),CONCATENATE("R1C",'Mapa final'!#REF!),"")</f>
        <v>#REF!</v>
      </c>
      <c r="V26" s="64" t="str">
        <f>IF(AND('Mapa final'!$Y$10="Media",'Mapa final'!$AA$10="Moderado"),CONCATENATE("R1C",'Mapa final'!$O$10),"")</f>
        <v/>
      </c>
      <c r="W26" s="65" t="e">
        <f>IF(AND('Mapa final'!#REF!="Media",'Mapa final'!#REF!="Moderado"),CONCATENATE("R1C",'Mapa final'!#REF!),"")</f>
        <v>#REF!</v>
      </c>
      <c r="X26" s="65" t="e">
        <f>IF(AND('Mapa final'!#REF!="Media",'Mapa final'!#REF!="Moderado"),CONCATENATE("R1C",'Mapa final'!#REF!),"")</f>
        <v>#REF!</v>
      </c>
      <c r="Y26" s="65" t="e">
        <f>IF(AND('Mapa final'!#REF!="Media",'Mapa final'!#REF!="Moderado"),CONCATENATE("R1C",'Mapa final'!#REF!),"")</f>
        <v>#REF!</v>
      </c>
      <c r="Z26" s="65" t="e">
        <f>IF(AND('Mapa final'!#REF!="Media",'Mapa final'!#REF!="Moderado"),CONCATENATE("R1C",'Mapa final'!#REF!),"")</f>
        <v>#REF!</v>
      </c>
      <c r="AA26" s="66" t="e">
        <f>IF(AND('Mapa final'!#REF!="Media",'Mapa final'!#REF!="Moderado"),CONCATENATE("R1C",'Mapa final'!#REF!),"")</f>
        <v>#REF!</v>
      </c>
      <c r="AB26" s="46" t="str">
        <f>IF(AND('Mapa final'!$Y$10="Media",'Mapa final'!$AA$10="Mayor"),CONCATENATE("R1C",'Mapa final'!$O$10),"")</f>
        <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3"/>
      <c r="AO26" s="375" t="s">
        <v>81</v>
      </c>
      <c r="AP26" s="376"/>
      <c r="AQ26" s="376"/>
      <c r="AR26" s="376"/>
      <c r="AS26" s="376"/>
      <c r="AT26" s="377"/>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97"/>
      <c r="C27" s="297"/>
      <c r="D27" s="298"/>
      <c r="E27" s="354"/>
      <c r="F27" s="339"/>
      <c r="G27" s="339"/>
      <c r="H27" s="339"/>
      <c r="I27" s="340"/>
      <c r="J27" s="67" t="str">
        <f>IF(AND('Mapa final'!$Y$11="Media",'Mapa final'!$AA$11="Leve"),CONCATENATE("R2C",'Mapa final'!$O$11),"")</f>
        <v/>
      </c>
      <c r="K27" s="68" t="e">
        <f>IF(AND('Mapa final'!#REF!="Media",'Mapa final'!#REF!="Leve"),CONCATENATE("R2C",'Mapa final'!#REF!),"")</f>
        <v>#REF!</v>
      </c>
      <c r="L27" s="68" t="e">
        <f>IF(AND('Mapa final'!#REF!="Media",'Mapa final'!#REF!="Leve"),CONCATENATE("R2C",'Mapa final'!#REF!),"")</f>
        <v>#REF!</v>
      </c>
      <c r="M27" s="68" t="e">
        <f>IF(AND('Mapa final'!#REF!="Media",'Mapa final'!#REF!="Leve"),CONCATENATE("R2C",'Mapa final'!#REF!),"")</f>
        <v>#REF!</v>
      </c>
      <c r="N27" s="68" t="e">
        <f>IF(AND('Mapa final'!#REF!="Media",'Mapa final'!#REF!="Leve"),CONCATENATE("R2C",'Mapa final'!#REF!),"")</f>
        <v>#REF!</v>
      </c>
      <c r="O27" s="69" t="e">
        <f>IF(AND('Mapa final'!#REF!="Media",'Mapa final'!#REF!="Leve"),CONCATENATE("R2C",'Mapa final'!#REF!),"")</f>
        <v>#REF!</v>
      </c>
      <c r="P27" s="67" t="str">
        <f>IF(AND('Mapa final'!$Y$11="Media",'Mapa final'!$AA$11="Menor"),CONCATENATE("R2C",'Mapa final'!$O$11),"")</f>
        <v/>
      </c>
      <c r="Q27" s="68" t="e">
        <f>IF(AND('Mapa final'!#REF!="Media",'Mapa final'!#REF!="Menor"),CONCATENATE("R2C",'Mapa final'!#REF!),"")</f>
        <v>#REF!</v>
      </c>
      <c r="R27" s="68" t="e">
        <f>IF(AND('Mapa final'!#REF!="Media",'Mapa final'!#REF!="Menor"),CONCATENATE("R2C",'Mapa final'!#REF!),"")</f>
        <v>#REF!</v>
      </c>
      <c r="S27" s="68" t="e">
        <f>IF(AND('Mapa final'!#REF!="Media",'Mapa final'!#REF!="Menor"),CONCATENATE("R2C",'Mapa final'!#REF!),"")</f>
        <v>#REF!</v>
      </c>
      <c r="T27" s="68" t="e">
        <f>IF(AND('Mapa final'!#REF!="Media",'Mapa final'!#REF!="Menor"),CONCATENATE("R2C",'Mapa final'!#REF!),"")</f>
        <v>#REF!</v>
      </c>
      <c r="U27" s="69" t="e">
        <f>IF(AND('Mapa final'!#REF!="Media",'Mapa final'!#REF!="Menor"),CONCATENATE("R2C",'Mapa final'!#REF!),"")</f>
        <v>#REF!</v>
      </c>
      <c r="V27" s="67" t="str">
        <f>IF(AND('Mapa final'!$Y$11="Media",'Mapa final'!$AA$11="Moderado"),CONCATENATE("R2C",'Mapa final'!$O$11),"")</f>
        <v/>
      </c>
      <c r="W27" s="68" t="e">
        <f>IF(AND('Mapa final'!#REF!="Media",'Mapa final'!#REF!="Moderado"),CONCATENATE("R2C",'Mapa final'!#REF!),"")</f>
        <v>#REF!</v>
      </c>
      <c r="X27" s="68" t="e">
        <f>IF(AND('Mapa final'!#REF!="Media",'Mapa final'!#REF!="Moderado"),CONCATENATE("R2C",'Mapa final'!#REF!),"")</f>
        <v>#REF!</v>
      </c>
      <c r="Y27" s="68" t="e">
        <f>IF(AND('Mapa final'!#REF!="Media",'Mapa final'!#REF!="Moderado"),CONCATENATE("R2C",'Mapa final'!#REF!),"")</f>
        <v>#REF!</v>
      </c>
      <c r="Z27" s="68" t="e">
        <f>IF(AND('Mapa final'!#REF!="Media",'Mapa final'!#REF!="Moderado"),CONCATENATE("R2C",'Mapa final'!#REF!),"")</f>
        <v>#REF!</v>
      </c>
      <c r="AA27" s="69" t="e">
        <f>IF(AND('Mapa final'!#REF!="Media",'Mapa final'!#REF!="Moderado"),CONCATENATE("R2C",'Mapa final'!#REF!),"")</f>
        <v>#REF!</v>
      </c>
      <c r="AB27" s="52" t="str">
        <f>IF(AND('Mapa final'!$Y$11="Media",'Mapa final'!$AA$11="Mayor"),CONCATENATE("R2C",'Mapa final'!$O$11),"")</f>
        <v>R2C1</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str">
        <f>IF(AND('Mapa final'!$Y$11="Media",'Mapa final'!$AA$11="Catastrófico"),CONCATENATE("R2C",'Mapa final'!$O$11),"")</f>
        <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3"/>
      <c r="AO27" s="378"/>
      <c r="AP27" s="379"/>
      <c r="AQ27" s="379"/>
      <c r="AR27" s="379"/>
      <c r="AS27" s="379"/>
      <c r="AT27" s="38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97"/>
      <c r="C28" s="297"/>
      <c r="D28" s="298"/>
      <c r="E28" s="338"/>
      <c r="F28" s="339"/>
      <c r="G28" s="339"/>
      <c r="H28" s="339"/>
      <c r="I28" s="340"/>
      <c r="J28" s="67" t="str">
        <f>IF(AND('Mapa final'!$Y$12="Media",'Mapa final'!$AA$12="Leve"),CONCATENATE("R3C",'Mapa final'!$O$12),"")</f>
        <v/>
      </c>
      <c r="K28" s="68" t="e">
        <f>IF(AND('Mapa final'!#REF!="Media",'Mapa final'!#REF!="Leve"),CONCATENATE("R3C",'Mapa final'!#REF!),"")</f>
        <v>#REF!</v>
      </c>
      <c r="L28" s="68" t="e">
        <f>IF(AND('Mapa final'!#REF!="Media",'Mapa final'!#REF!="Leve"),CONCATENATE("R3C",'Mapa final'!#REF!),"")</f>
        <v>#REF!</v>
      </c>
      <c r="M28" s="68" t="e">
        <f>IF(AND('Mapa final'!#REF!="Media",'Mapa final'!#REF!="Leve"),CONCATENATE("R3C",'Mapa final'!#REF!),"")</f>
        <v>#REF!</v>
      </c>
      <c r="N28" s="68" t="e">
        <f>IF(AND('Mapa final'!#REF!="Media",'Mapa final'!#REF!="Leve"),CONCATENATE("R3C",'Mapa final'!#REF!),"")</f>
        <v>#REF!</v>
      </c>
      <c r="O28" s="69" t="e">
        <f>IF(AND('Mapa final'!#REF!="Media",'Mapa final'!#REF!="Leve"),CONCATENATE("R3C",'Mapa final'!#REF!),"")</f>
        <v>#REF!</v>
      </c>
      <c r="P28" s="67" t="str">
        <f>IF(AND('Mapa final'!$Y$12="Media",'Mapa final'!$AA$12="Menor"),CONCATENATE("R3C",'Mapa final'!$O$12),"")</f>
        <v/>
      </c>
      <c r="Q28" s="68" t="e">
        <f>IF(AND('Mapa final'!#REF!="Media",'Mapa final'!#REF!="Menor"),CONCATENATE("R3C",'Mapa final'!#REF!),"")</f>
        <v>#REF!</v>
      </c>
      <c r="R28" s="68" t="e">
        <f>IF(AND('Mapa final'!#REF!="Media",'Mapa final'!#REF!="Menor"),CONCATENATE("R3C",'Mapa final'!#REF!),"")</f>
        <v>#REF!</v>
      </c>
      <c r="S28" s="68" t="e">
        <f>IF(AND('Mapa final'!#REF!="Media",'Mapa final'!#REF!="Menor"),CONCATENATE("R3C",'Mapa final'!#REF!),"")</f>
        <v>#REF!</v>
      </c>
      <c r="T28" s="68" t="e">
        <f>IF(AND('Mapa final'!#REF!="Media",'Mapa final'!#REF!="Menor"),CONCATENATE("R3C",'Mapa final'!#REF!),"")</f>
        <v>#REF!</v>
      </c>
      <c r="U28" s="69" t="e">
        <f>IF(AND('Mapa final'!#REF!="Media",'Mapa final'!#REF!="Menor"),CONCATENATE("R3C",'Mapa final'!#REF!),"")</f>
        <v>#REF!</v>
      </c>
      <c r="V28" s="67" t="str">
        <f>IF(AND('Mapa final'!$Y$12="Media",'Mapa final'!$AA$12="Moderado"),CONCATENATE("R3C",'Mapa final'!$O$12),"")</f>
        <v>R3C1</v>
      </c>
      <c r="W28" s="68" t="e">
        <f>IF(AND('Mapa final'!#REF!="Media",'Mapa final'!#REF!="Moderado"),CONCATENATE("R3C",'Mapa final'!#REF!),"")</f>
        <v>#REF!</v>
      </c>
      <c r="X28" s="68" t="e">
        <f>IF(AND('Mapa final'!#REF!="Media",'Mapa final'!#REF!="Moderado"),CONCATENATE("R3C",'Mapa final'!#REF!),"")</f>
        <v>#REF!</v>
      </c>
      <c r="Y28" s="68" t="e">
        <f>IF(AND('Mapa final'!#REF!="Media",'Mapa final'!#REF!="Moderado"),CONCATENATE("R3C",'Mapa final'!#REF!),"")</f>
        <v>#REF!</v>
      </c>
      <c r="Z28" s="68" t="e">
        <f>IF(AND('Mapa final'!#REF!="Media",'Mapa final'!#REF!="Moderado"),CONCATENATE("R3C",'Mapa final'!#REF!),"")</f>
        <v>#REF!</v>
      </c>
      <c r="AA28" s="69" t="e">
        <f>IF(AND('Mapa final'!#REF!="Media",'Mapa final'!#REF!="Moderado"),CONCATENATE("R3C",'Mapa final'!#REF!),"")</f>
        <v>#REF!</v>
      </c>
      <c r="AB28" s="52" t="str">
        <f>IF(AND('Mapa final'!$Y$12="Media",'Mapa final'!$AA$12="Mayor"),CONCATENATE("R3C",'Mapa final'!$O$12),"")</f>
        <v/>
      </c>
      <c r="AC28" s="53" t="e">
        <f>IF(AND('Mapa final'!#REF!="Media",'Mapa final'!#REF!="Mayor"),CONCATENATE("R3C",'Mapa final'!#REF!),"")</f>
        <v>#REF!</v>
      </c>
      <c r="AD28" s="53" t="e">
        <f>IF(AND('Mapa final'!#REF!="Media",'Mapa final'!#REF!="Mayor"),CONCATENATE("R3C",'Mapa final'!#REF!),"")</f>
        <v>#REF!</v>
      </c>
      <c r="AE28" s="53" t="e">
        <f>IF(AND('Mapa final'!#REF!="Media",'Mapa final'!#REF!="Mayor"),CONCATENATE("R3C",'Mapa final'!#REF!),"")</f>
        <v>#REF!</v>
      </c>
      <c r="AF28" s="53" t="e">
        <f>IF(AND('Mapa final'!#REF!="Media",'Mapa final'!#REF!="Mayor"),CONCATENATE("R3C",'Mapa final'!#REF!),"")</f>
        <v>#REF!</v>
      </c>
      <c r="AG28" s="54" t="e">
        <f>IF(AND('Mapa final'!#REF!="Media",'Mapa final'!#REF!="Mayor"),CONCATENATE("R3C",'Mapa final'!#REF!),"")</f>
        <v>#REF!</v>
      </c>
      <c r="AH28" s="55" t="str">
        <f>IF(AND('Mapa final'!$Y$12="Media",'Mapa final'!$AA$12="Catastrófico"),CONCATENATE("R3C",'Mapa final'!$O$12),"")</f>
        <v/>
      </c>
      <c r="AI28" s="56" t="e">
        <f>IF(AND('Mapa final'!#REF!="Media",'Mapa final'!#REF!="Catastrófico"),CONCATENATE("R3C",'Mapa final'!#REF!),"")</f>
        <v>#REF!</v>
      </c>
      <c r="AJ28" s="56" t="e">
        <f>IF(AND('Mapa final'!#REF!="Media",'Mapa final'!#REF!="Catastrófico"),CONCATENATE("R3C",'Mapa final'!#REF!),"")</f>
        <v>#REF!</v>
      </c>
      <c r="AK28" s="56" t="e">
        <f>IF(AND('Mapa final'!#REF!="Media",'Mapa final'!#REF!="Catastrófico"),CONCATENATE("R3C",'Mapa final'!#REF!),"")</f>
        <v>#REF!</v>
      </c>
      <c r="AL28" s="56" t="e">
        <f>IF(AND('Mapa final'!#REF!="Media",'Mapa final'!#REF!="Catastrófico"),CONCATENATE("R3C",'Mapa final'!#REF!),"")</f>
        <v>#REF!</v>
      </c>
      <c r="AM28" s="57" t="e">
        <f>IF(AND('Mapa final'!#REF!="Media",'Mapa final'!#REF!="Catastrófico"),CONCATENATE("R3C",'Mapa final'!#REF!),"")</f>
        <v>#REF!</v>
      </c>
      <c r="AN28" s="83"/>
      <c r="AO28" s="378"/>
      <c r="AP28" s="379"/>
      <c r="AQ28" s="379"/>
      <c r="AR28" s="379"/>
      <c r="AS28" s="379"/>
      <c r="AT28" s="38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97"/>
      <c r="C29" s="297"/>
      <c r="D29" s="298"/>
      <c r="E29" s="338"/>
      <c r="F29" s="339"/>
      <c r="G29" s="339"/>
      <c r="H29" s="339"/>
      <c r="I29" s="340"/>
      <c r="J29" s="67" t="str">
        <f>IF(AND('Mapa final'!$Y$13="Media",'Mapa final'!$AA$13="Leve"),CONCATENATE("R4C",'Mapa final'!$O$13),"")</f>
        <v/>
      </c>
      <c r="K29" s="68" t="str">
        <f>IF(AND('Mapa final'!$Y$14="Media",'Mapa final'!$AA$14="Leve"),CONCATENATE("R4C",'Mapa final'!$O$14),"")</f>
        <v/>
      </c>
      <c r="L29" s="68" t="str">
        <f>IF(AND('Mapa final'!$Y$15="Media",'Mapa final'!$AA$15="Leve"),CONCATENATE("R4C",'Mapa final'!$O$15),"")</f>
        <v/>
      </c>
      <c r="M29" s="68" t="str">
        <f>IF(AND('Mapa final'!$Y$16="Media",'Mapa final'!$AA$16="Leve"),CONCATENATE("R4C",'Mapa final'!$O$16),"")</f>
        <v/>
      </c>
      <c r="N29" s="68" t="str">
        <f>IF(AND('Mapa final'!$Y$17="Media",'Mapa final'!$AA$17="Leve"),CONCATENATE("R4C",'Mapa final'!$O$17),"")</f>
        <v/>
      </c>
      <c r="O29" s="69" t="str">
        <f>IF(AND('Mapa final'!$Y$18="Media",'Mapa final'!$AA$18="Leve"),CONCATENATE("R4C",'Mapa final'!$O$18),"")</f>
        <v/>
      </c>
      <c r="P29" s="67" t="str">
        <f>IF(AND('Mapa final'!$Y$13="Media",'Mapa final'!$AA$13="Menor"),CONCATENATE("R4C",'Mapa final'!$O$13),"")</f>
        <v/>
      </c>
      <c r="Q29" s="68" t="str">
        <f>IF(AND('Mapa final'!$Y$14="Media",'Mapa final'!$AA$14="Menor"),CONCATENATE("R4C",'Mapa final'!$O$14),"")</f>
        <v/>
      </c>
      <c r="R29" s="68" t="str">
        <f>IF(AND('Mapa final'!$Y$15="Media",'Mapa final'!$AA$15="Menor"),CONCATENATE("R4C",'Mapa final'!$O$15),"")</f>
        <v/>
      </c>
      <c r="S29" s="68" t="str">
        <f>IF(AND('Mapa final'!$Y$16="Media",'Mapa final'!$AA$16="Menor"),CONCATENATE("R4C",'Mapa final'!$O$16),"")</f>
        <v/>
      </c>
      <c r="T29" s="68" t="str">
        <f>IF(AND('Mapa final'!$Y$17="Media",'Mapa final'!$AA$17="Menor"),CONCATENATE("R4C",'Mapa final'!$O$17),"")</f>
        <v/>
      </c>
      <c r="U29" s="69" t="str">
        <f>IF(AND('Mapa final'!$Y$18="Media",'Mapa final'!$AA$18="Menor"),CONCATENATE("R4C",'Mapa final'!$O$18),"")</f>
        <v/>
      </c>
      <c r="V29" s="67" t="str">
        <f>IF(AND('Mapa final'!$Y$13="Media",'Mapa final'!$AA$13="Moderado"),CONCATENATE("R4C",'Mapa final'!$O$13),"")</f>
        <v/>
      </c>
      <c r="W29" s="68" t="str">
        <f>IF(AND('Mapa final'!$Y$14="Media",'Mapa final'!$AA$14="Moderado"),CONCATENATE("R4C",'Mapa final'!$O$14),"")</f>
        <v/>
      </c>
      <c r="X29" s="68" t="str">
        <f>IF(AND('Mapa final'!$Y$15="Media",'Mapa final'!$AA$15="Moderado"),CONCATENATE("R4C",'Mapa final'!$O$15),"")</f>
        <v/>
      </c>
      <c r="Y29" s="68" t="str">
        <f>IF(AND('Mapa final'!$Y$16="Media",'Mapa final'!$AA$16="Moderado"),CONCATENATE("R4C",'Mapa final'!$O$16),"")</f>
        <v/>
      </c>
      <c r="Z29" s="68" t="str">
        <f>IF(AND('Mapa final'!$Y$17="Media",'Mapa final'!$AA$17="Moderado"),CONCATENATE("R4C",'Mapa final'!$O$17),"")</f>
        <v/>
      </c>
      <c r="AA29" s="69" t="str">
        <f>IF(AND('Mapa final'!$Y$18="Media",'Mapa final'!$AA$18="Moderado"),CONCATENATE("R4C",'Mapa final'!$O$18),"")</f>
        <v/>
      </c>
      <c r="AB29" s="52" t="str">
        <f>IF(AND('Mapa final'!$Y$13="Media",'Mapa final'!$AA$13="Mayor"),CONCATENATE("R4C",'Mapa final'!$O$13),"")</f>
        <v/>
      </c>
      <c r="AC29" s="53" t="str">
        <f>IF(AND('Mapa final'!$Y$14="Media",'Mapa final'!$AA$14="Mayor"),CONCATENATE("R4C",'Mapa final'!$O$14),"")</f>
        <v/>
      </c>
      <c r="AD29" s="53" t="str">
        <f>IF(AND('Mapa final'!$Y$15="Media",'Mapa final'!$AA$15="Mayor"),CONCATENATE("R4C",'Mapa final'!$O$15),"")</f>
        <v/>
      </c>
      <c r="AE29" s="53" t="str">
        <f>IF(AND('Mapa final'!$Y$16="Media",'Mapa final'!$AA$16="Mayor"),CONCATENATE("R4C",'Mapa final'!$O$16),"")</f>
        <v/>
      </c>
      <c r="AF29" s="53" t="str">
        <f>IF(AND('Mapa final'!$Y$17="Media",'Mapa final'!$AA$17="Mayor"),CONCATENATE("R4C",'Mapa final'!$O$17),"")</f>
        <v/>
      </c>
      <c r="AG29" s="54" t="str">
        <f>IF(AND('Mapa final'!$Y$18="Media",'Mapa final'!$AA$18="Mayor"),CONCATENATE("R4C",'Mapa final'!$O$18),"")</f>
        <v/>
      </c>
      <c r="AH29" s="55" t="str">
        <f>IF(AND('Mapa final'!$Y$13="Media",'Mapa final'!$AA$13="Catastrófico"),CONCATENATE("R4C",'Mapa final'!$O$13),"")</f>
        <v/>
      </c>
      <c r="AI29" s="56" t="str">
        <f>IF(AND('Mapa final'!$Y$14="Media",'Mapa final'!$AA$14="Catastrófico"),CONCATENATE("R4C",'Mapa final'!$O$14),"")</f>
        <v/>
      </c>
      <c r="AJ29" s="56" t="str">
        <f>IF(AND('Mapa final'!$Y$15="Media",'Mapa final'!$AA$15="Catastrófico"),CONCATENATE("R4C",'Mapa final'!$O$15),"")</f>
        <v/>
      </c>
      <c r="AK29" s="56" t="str">
        <f>IF(AND('Mapa final'!$Y$16="Media",'Mapa final'!$AA$16="Catastrófico"),CONCATENATE("R4C",'Mapa final'!$O$16),"")</f>
        <v/>
      </c>
      <c r="AL29" s="56" t="str">
        <f>IF(AND('Mapa final'!$Y$17="Media",'Mapa final'!$AA$17="Catastrófico"),CONCATENATE("R4C",'Mapa final'!$O$17),"")</f>
        <v/>
      </c>
      <c r="AM29" s="57" t="str">
        <f>IF(AND('Mapa final'!$Y$18="Media",'Mapa final'!$AA$18="Catastrófico"),CONCATENATE("R4C",'Mapa final'!$O$18),"")</f>
        <v/>
      </c>
      <c r="AN29" s="83"/>
      <c r="AO29" s="378"/>
      <c r="AP29" s="379"/>
      <c r="AQ29" s="379"/>
      <c r="AR29" s="379"/>
      <c r="AS29" s="379"/>
      <c r="AT29" s="380"/>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97"/>
      <c r="C30" s="297"/>
      <c r="D30" s="298"/>
      <c r="E30" s="338"/>
      <c r="F30" s="339"/>
      <c r="G30" s="339"/>
      <c r="H30" s="339"/>
      <c r="I30" s="340"/>
      <c r="J30" s="67" t="str">
        <f>IF(AND('Mapa final'!$Y$19="Media",'Mapa final'!$AA$19="Leve"),CONCATENATE("R5C",'Mapa final'!$O$19),"")</f>
        <v/>
      </c>
      <c r="K30" s="68" t="str">
        <f>IF(AND('Mapa final'!$Y$20="Media",'Mapa final'!$AA$20="Leve"),CONCATENATE("R5C",'Mapa final'!$O$20),"")</f>
        <v/>
      </c>
      <c r="L30" s="68" t="str">
        <f>IF(AND('Mapa final'!$Y$21="Media",'Mapa final'!$AA$21="Leve"),CONCATENATE("R5C",'Mapa final'!$O$21),"")</f>
        <v/>
      </c>
      <c r="M30" s="68" t="str">
        <f>IF(AND('Mapa final'!$Y$22="Media",'Mapa final'!$AA$22="Leve"),CONCATENATE("R5C",'Mapa final'!$O$22),"")</f>
        <v/>
      </c>
      <c r="N30" s="68" t="str">
        <f>IF(AND('Mapa final'!$Y$23="Media",'Mapa final'!$AA$23="Leve"),CONCATENATE("R5C",'Mapa final'!$O$23),"")</f>
        <v/>
      </c>
      <c r="O30" s="69" t="str">
        <f>IF(AND('Mapa final'!$Y$24="Media",'Mapa final'!$AA$24="Leve"),CONCATENATE("R5C",'Mapa final'!$O$24),"")</f>
        <v/>
      </c>
      <c r="P30" s="67" t="str">
        <f>IF(AND('Mapa final'!$Y$19="Media",'Mapa final'!$AA$19="Menor"),CONCATENATE("R5C",'Mapa final'!$O$19),"")</f>
        <v/>
      </c>
      <c r="Q30" s="68" t="str">
        <f>IF(AND('Mapa final'!$Y$20="Media",'Mapa final'!$AA$20="Menor"),CONCATENATE("R5C",'Mapa final'!$O$20),"")</f>
        <v/>
      </c>
      <c r="R30" s="68" t="str">
        <f>IF(AND('Mapa final'!$Y$21="Media",'Mapa final'!$AA$21="Menor"),CONCATENATE("R5C",'Mapa final'!$O$21),"")</f>
        <v/>
      </c>
      <c r="S30" s="68" t="str">
        <f>IF(AND('Mapa final'!$Y$22="Media",'Mapa final'!$AA$22="Menor"),CONCATENATE("R5C",'Mapa final'!$O$22),"")</f>
        <v/>
      </c>
      <c r="T30" s="68" t="str">
        <f>IF(AND('Mapa final'!$Y$23="Media",'Mapa final'!$AA$23="Menor"),CONCATENATE("R5C",'Mapa final'!$O$23),"")</f>
        <v/>
      </c>
      <c r="U30" s="69" t="str">
        <f>IF(AND('Mapa final'!$Y$24="Media",'Mapa final'!$AA$24="Menor"),CONCATENATE("R5C",'Mapa final'!$O$24),"")</f>
        <v/>
      </c>
      <c r="V30" s="67" t="str">
        <f>IF(AND('Mapa final'!$Y$19="Media",'Mapa final'!$AA$19="Moderado"),CONCATENATE("R5C",'Mapa final'!$O$19),"")</f>
        <v/>
      </c>
      <c r="W30" s="68" t="str">
        <f>IF(AND('Mapa final'!$Y$20="Media",'Mapa final'!$AA$20="Moderado"),CONCATENATE("R5C",'Mapa final'!$O$20),"")</f>
        <v/>
      </c>
      <c r="X30" s="68" t="str">
        <f>IF(AND('Mapa final'!$Y$21="Media",'Mapa final'!$AA$21="Moderado"),CONCATENATE("R5C",'Mapa final'!$O$21),"")</f>
        <v/>
      </c>
      <c r="Y30" s="68" t="str">
        <f>IF(AND('Mapa final'!$Y$22="Media",'Mapa final'!$AA$22="Moderado"),CONCATENATE("R5C",'Mapa final'!$O$22),"")</f>
        <v/>
      </c>
      <c r="Z30" s="68" t="str">
        <f>IF(AND('Mapa final'!$Y$23="Media",'Mapa final'!$AA$23="Moderado"),CONCATENATE("R5C",'Mapa final'!$O$23),"")</f>
        <v/>
      </c>
      <c r="AA30" s="69" t="str">
        <f>IF(AND('Mapa final'!$Y$24="Media",'Mapa final'!$AA$24="Moderado"),CONCATENATE("R5C",'Mapa final'!$O$24),"")</f>
        <v/>
      </c>
      <c r="AB30" s="52" t="str">
        <f>IF(AND('Mapa final'!$Y$19="Media",'Mapa final'!$AA$19="Mayor"),CONCATENATE("R5C",'Mapa final'!$O$19),"")</f>
        <v/>
      </c>
      <c r="AC30" s="53" t="str">
        <f>IF(AND('Mapa final'!$Y$20="Media",'Mapa final'!$AA$20="Mayor"),CONCATENATE("R5C",'Mapa final'!$O$20),"")</f>
        <v/>
      </c>
      <c r="AD30" s="53" t="str">
        <f>IF(AND('Mapa final'!$Y$21="Media",'Mapa final'!$AA$21="Mayor"),CONCATENATE("R5C",'Mapa final'!$O$21),"")</f>
        <v/>
      </c>
      <c r="AE30" s="53" t="str">
        <f>IF(AND('Mapa final'!$Y$22="Media",'Mapa final'!$AA$22="Mayor"),CONCATENATE("R5C",'Mapa final'!$O$22),"")</f>
        <v/>
      </c>
      <c r="AF30" s="53" t="str">
        <f>IF(AND('Mapa final'!$Y$23="Media",'Mapa final'!$AA$23="Mayor"),CONCATENATE("R5C",'Mapa final'!$O$23),"")</f>
        <v/>
      </c>
      <c r="AG30" s="54" t="str">
        <f>IF(AND('Mapa final'!$Y$24="Media",'Mapa final'!$AA$24="Mayor"),CONCATENATE("R5C",'Mapa final'!$O$24),"")</f>
        <v/>
      </c>
      <c r="AH30" s="55" t="str">
        <f>IF(AND('Mapa final'!$Y$19="Media",'Mapa final'!$AA$19="Catastrófico"),CONCATENATE("R5C",'Mapa final'!$O$19),"")</f>
        <v/>
      </c>
      <c r="AI30" s="56" t="str">
        <f>IF(AND('Mapa final'!$Y$20="Media",'Mapa final'!$AA$20="Catastrófico"),CONCATENATE("R5C",'Mapa final'!$O$20),"")</f>
        <v/>
      </c>
      <c r="AJ30" s="56" t="str">
        <f>IF(AND('Mapa final'!$Y$21="Media",'Mapa final'!$AA$21="Catastrófico"),CONCATENATE("R5C",'Mapa final'!$O$21),"")</f>
        <v/>
      </c>
      <c r="AK30" s="56" t="str">
        <f>IF(AND('Mapa final'!$Y$22="Media",'Mapa final'!$AA$22="Catastrófico"),CONCATENATE("R5C",'Mapa final'!$O$22),"")</f>
        <v/>
      </c>
      <c r="AL30" s="56" t="str">
        <f>IF(AND('Mapa final'!$Y$23="Media",'Mapa final'!$AA$23="Catastrófico"),CONCATENATE("R5C",'Mapa final'!$O$23),"")</f>
        <v/>
      </c>
      <c r="AM30" s="57" t="str">
        <f>IF(AND('Mapa final'!$Y$24="Media",'Mapa final'!$AA$24="Catastrófico"),CONCATENATE("R5C",'Mapa final'!$O$24),"")</f>
        <v/>
      </c>
      <c r="AN30" s="83"/>
      <c r="AO30" s="378"/>
      <c r="AP30" s="379"/>
      <c r="AQ30" s="379"/>
      <c r="AR30" s="379"/>
      <c r="AS30" s="379"/>
      <c r="AT30" s="38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97"/>
      <c r="C31" s="297"/>
      <c r="D31" s="298"/>
      <c r="E31" s="338"/>
      <c r="F31" s="339"/>
      <c r="G31" s="339"/>
      <c r="H31" s="339"/>
      <c r="I31" s="340"/>
      <c r="J31" s="67" t="str">
        <f>IF(AND('Mapa final'!$Y$25="Media",'Mapa final'!$AA$25="Leve"),CONCATENATE("R6C",'Mapa final'!$O$25),"")</f>
        <v/>
      </c>
      <c r="K31" s="68" t="str">
        <f>IF(AND('Mapa final'!$Y$26="Media",'Mapa final'!$AA$26="Leve"),CONCATENATE("R6C",'Mapa final'!$O$26),"")</f>
        <v/>
      </c>
      <c r="L31" s="68" t="str">
        <f>IF(AND('Mapa final'!$Y$27="Media",'Mapa final'!$AA$27="Leve"),CONCATENATE("R6C",'Mapa final'!$O$27),"")</f>
        <v/>
      </c>
      <c r="M31" s="68" t="str">
        <f>IF(AND('Mapa final'!$Y$28="Media",'Mapa final'!$AA$28="Leve"),CONCATENATE("R6C",'Mapa final'!$O$28),"")</f>
        <v/>
      </c>
      <c r="N31" s="68" t="str">
        <f>IF(AND('Mapa final'!$Y$29="Media",'Mapa final'!$AA$29="Leve"),CONCATENATE("R6C",'Mapa final'!$O$29),"")</f>
        <v/>
      </c>
      <c r="O31" s="69" t="str">
        <f>IF(AND('Mapa final'!$Y$30="Media",'Mapa final'!$AA$30="Leve"),CONCATENATE("R6C",'Mapa final'!$O$30),"")</f>
        <v/>
      </c>
      <c r="P31" s="67" t="str">
        <f>IF(AND('Mapa final'!$Y$25="Media",'Mapa final'!$AA$25="Menor"),CONCATENATE("R6C",'Mapa final'!$O$25),"")</f>
        <v/>
      </c>
      <c r="Q31" s="68" t="str">
        <f>IF(AND('Mapa final'!$Y$26="Media",'Mapa final'!$AA$26="Menor"),CONCATENATE("R6C",'Mapa final'!$O$26),"")</f>
        <v/>
      </c>
      <c r="R31" s="68" t="str">
        <f>IF(AND('Mapa final'!$Y$27="Media",'Mapa final'!$AA$27="Menor"),CONCATENATE("R6C",'Mapa final'!$O$27),"")</f>
        <v/>
      </c>
      <c r="S31" s="68" t="str">
        <f>IF(AND('Mapa final'!$Y$28="Media",'Mapa final'!$AA$28="Menor"),CONCATENATE("R6C",'Mapa final'!$O$28),"")</f>
        <v/>
      </c>
      <c r="T31" s="68" t="str">
        <f>IF(AND('Mapa final'!$Y$29="Media",'Mapa final'!$AA$29="Menor"),CONCATENATE("R6C",'Mapa final'!$O$29),"")</f>
        <v/>
      </c>
      <c r="U31" s="69" t="str">
        <f>IF(AND('Mapa final'!$Y$30="Media",'Mapa final'!$AA$30="Menor"),CONCATENATE("R6C",'Mapa final'!$O$30),"")</f>
        <v/>
      </c>
      <c r="V31" s="67" t="str">
        <f>IF(AND('Mapa final'!$Y$25="Media",'Mapa final'!$AA$25="Moderado"),CONCATENATE("R6C",'Mapa final'!$O$25),"")</f>
        <v/>
      </c>
      <c r="W31" s="68" t="str">
        <f>IF(AND('Mapa final'!$Y$26="Media",'Mapa final'!$AA$26="Moderado"),CONCATENATE("R6C",'Mapa final'!$O$26),"")</f>
        <v/>
      </c>
      <c r="X31" s="68" t="str">
        <f>IF(AND('Mapa final'!$Y$27="Media",'Mapa final'!$AA$27="Moderado"),CONCATENATE("R6C",'Mapa final'!$O$27),"")</f>
        <v/>
      </c>
      <c r="Y31" s="68" t="str">
        <f>IF(AND('Mapa final'!$Y$28="Media",'Mapa final'!$AA$28="Moderado"),CONCATENATE("R6C",'Mapa final'!$O$28),"")</f>
        <v/>
      </c>
      <c r="Z31" s="68" t="str">
        <f>IF(AND('Mapa final'!$Y$29="Media",'Mapa final'!$AA$29="Moderado"),CONCATENATE("R6C",'Mapa final'!$O$29),"")</f>
        <v/>
      </c>
      <c r="AA31" s="69" t="str">
        <f>IF(AND('Mapa final'!$Y$30="Media",'Mapa final'!$AA$30="Moderado"),CONCATENATE("R6C",'Mapa final'!$O$30),"")</f>
        <v/>
      </c>
      <c r="AB31" s="52" t="str">
        <f>IF(AND('Mapa final'!$Y$25="Media",'Mapa final'!$AA$25="Mayor"),CONCATENATE("R6C",'Mapa final'!$O$25),"")</f>
        <v/>
      </c>
      <c r="AC31" s="53" t="str">
        <f>IF(AND('Mapa final'!$Y$26="Media",'Mapa final'!$AA$26="Mayor"),CONCATENATE("R6C",'Mapa final'!$O$26),"")</f>
        <v/>
      </c>
      <c r="AD31" s="53" t="str">
        <f>IF(AND('Mapa final'!$Y$27="Media",'Mapa final'!$AA$27="Mayor"),CONCATENATE("R6C",'Mapa final'!$O$27),"")</f>
        <v/>
      </c>
      <c r="AE31" s="53" t="str">
        <f>IF(AND('Mapa final'!$Y$28="Media",'Mapa final'!$AA$28="Mayor"),CONCATENATE("R6C",'Mapa final'!$O$28),"")</f>
        <v/>
      </c>
      <c r="AF31" s="53" t="str">
        <f>IF(AND('Mapa final'!$Y$29="Media",'Mapa final'!$AA$29="Mayor"),CONCATENATE("R6C",'Mapa final'!$O$29),"")</f>
        <v/>
      </c>
      <c r="AG31" s="54" t="str">
        <f>IF(AND('Mapa final'!$Y$30="Media",'Mapa final'!$AA$30="Mayor"),CONCATENATE("R6C",'Mapa final'!$O$30),"")</f>
        <v/>
      </c>
      <c r="AH31" s="55" t="str">
        <f>IF(AND('Mapa final'!$Y$25="Media",'Mapa final'!$AA$25="Catastrófico"),CONCATENATE("R6C",'Mapa final'!$O$25),"")</f>
        <v/>
      </c>
      <c r="AI31" s="56" t="str">
        <f>IF(AND('Mapa final'!$Y$26="Media",'Mapa final'!$AA$26="Catastrófico"),CONCATENATE("R6C",'Mapa final'!$O$26),"")</f>
        <v/>
      </c>
      <c r="AJ31" s="56" t="str">
        <f>IF(AND('Mapa final'!$Y$27="Media",'Mapa final'!$AA$27="Catastrófico"),CONCATENATE("R6C",'Mapa final'!$O$27),"")</f>
        <v/>
      </c>
      <c r="AK31" s="56" t="str">
        <f>IF(AND('Mapa final'!$Y$28="Media",'Mapa final'!$AA$28="Catastrófico"),CONCATENATE("R6C",'Mapa final'!$O$28),"")</f>
        <v/>
      </c>
      <c r="AL31" s="56" t="str">
        <f>IF(AND('Mapa final'!$Y$29="Media",'Mapa final'!$AA$29="Catastrófico"),CONCATENATE("R6C",'Mapa final'!$O$29),"")</f>
        <v/>
      </c>
      <c r="AM31" s="57" t="str">
        <f>IF(AND('Mapa final'!$Y$30="Media",'Mapa final'!$AA$30="Catastrófico"),CONCATENATE("R6C",'Mapa final'!$O$30),"")</f>
        <v/>
      </c>
      <c r="AN31" s="83"/>
      <c r="AO31" s="378"/>
      <c r="AP31" s="379"/>
      <c r="AQ31" s="379"/>
      <c r="AR31" s="379"/>
      <c r="AS31" s="379"/>
      <c r="AT31" s="38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97"/>
      <c r="C32" s="297"/>
      <c r="D32" s="298"/>
      <c r="E32" s="338"/>
      <c r="F32" s="339"/>
      <c r="G32" s="339"/>
      <c r="H32" s="339"/>
      <c r="I32" s="340"/>
      <c r="J32" s="67" t="str">
        <f>IF(AND('Mapa final'!$Y$31="Media",'Mapa final'!$AA$31="Leve"),CONCATENATE("R7C",'Mapa final'!$O$31),"")</f>
        <v/>
      </c>
      <c r="K32" s="68" t="str">
        <f>IF(AND('Mapa final'!$Y$32="Media",'Mapa final'!$AA$32="Leve"),CONCATENATE("R7C",'Mapa final'!$O$32),"")</f>
        <v/>
      </c>
      <c r="L32" s="68" t="str">
        <f>IF(AND('Mapa final'!$Y$33="Media",'Mapa final'!$AA$33="Leve"),CONCATENATE("R7C",'Mapa final'!$O$33),"")</f>
        <v/>
      </c>
      <c r="M32" s="68" t="str">
        <f>IF(AND('Mapa final'!$Y$34="Media",'Mapa final'!$AA$34="Leve"),CONCATENATE("R7C",'Mapa final'!$O$34),"")</f>
        <v/>
      </c>
      <c r="N32" s="68" t="str">
        <f>IF(AND('Mapa final'!$Y$35="Media",'Mapa final'!$AA$35="Leve"),CONCATENATE("R7C",'Mapa final'!$O$35),"")</f>
        <v/>
      </c>
      <c r="O32" s="69" t="str">
        <f>IF(AND('Mapa final'!$Y$36="Media",'Mapa final'!$AA$36="Leve"),CONCATENATE("R7C",'Mapa final'!$O$36),"")</f>
        <v/>
      </c>
      <c r="P32" s="67" t="str">
        <f>IF(AND('Mapa final'!$Y$31="Media",'Mapa final'!$AA$31="Menor"),CONCATENATE("R7C",'Mapa final'!$O$31),"")</f>
        <v/>
      </c>
      <c r="Q32" s="68" t="str">
        <f>IF(AND('Mapa final'!$Y$32="Media",'Mapa final'!$AA$32="Menor"),CONCATENATE("R7C",'Mapa final'!$O$32),"")</f>
        <v/>
      </c>
      <c r="R32" s="68" t="str">
        <f>IF(AND('Mapa final'!$Y$33="Media",'Mapa final'!$AA$33="Menor"),CONCATENATE("R7C",'Mapa final'!$O$33),"")</f>
        <v/>
      </c>
      <c r="S32" s="68" t="str">
        <f>IF(AND('Mapa final'!$Y$34="Media",'Mapa final'!$AA$34="Menor"),CONCATENATE("R7C",'Mapa final'!$O$34),"")</f>
        <v/>
      </c>
      <c r="T32" s="68" t="str">
        <f>IF(AND('Mapa final'!$Y$35="Media",'Mapa final'!$AA$35="Menor"),CONCATENATE("R7C",'Mapa final'!$O$35),"")</f>
        <v/>
      </c>
      <c r="U32" s="69" t="str">
        <f>IF(AND('Mapa final'!$Y$36="Media",'Mapa final'!$AA$36="Menor"),CONCATENATE("R7C",'Mapa final'!$O$36),"")</f>
        <v/>
      </c>
      <c r="V32" s="67" t="str">
        <f>IF(AND('Mapa final'!$Y$31="Media",'Mapa final'!$AA$31="Moderado"),CONCATENATE("R7C",'Mapa final'!$O$31),"")</f>
        <v/>
      </c>
      <c r="W32" s="68" t="str">
        <f>IF(AND('Mapa final'!$Y$32="Media",'Mapa final'!$AA$32="Moderado"),CONCATENATE("R7C",'Mapa final'!$O$32),"")</f>
        <v/>
      </c>
      <c r="X32" s="68" t="str">
        <f>IF(AND('Mapa final'!$Y$33="Media",'Mapa final'!$AA$33="Moderado"),CONCATENATE("R7C",'Mapa final'!$O$33),"")</f>
        <v/>
      </c>
      <c r="Y32" s="68" t="str">
        <f>IF(AND('Mapa final'!$Y$34="Media",'Mapa final'!$AA$34="Moderado"),CONCATENATE("R7C",'Mapa final'!$O$34),"")</f>
        <v/>
      </c>
      <c r="Z32" s="68" t="str">
        <f>IF(AND('Mapa final'!$Y$35="Media",'Mapa final'!$AA$35="Moderado"),CONCATENATE("R7C",'Mapa final'!$O$35),"")</f>
        <v/>
      </c>
      <c r="AA32" s="69" t="str">
        <f>IF(AND('Mapa final'!$Y$36="Media",'Mapa final'!$AA$36="Moderado"),CONCATENATE("R7C",'Mapa final'!$O$36),"")</f>
        <v/>
      </c>
      <c r="AB32" s="52" t="str">
        <f>IF(AND('Mapa final'!$Y$31="Media",'Mapa final'!$AA$31="Mayor"),CONCATENATE("R7C",'Mapa final'!$O$31),"")</f>
        <v/>
      </c>
      <c r="AC32" s="53" t="str">
        <f>IF(AND('Mapa final'!$Y$32="Media",'Mapa final'!$AA$32="Mayor"),CONCATENATE("R7C",'Mapa final'!$O$32),"")</f>
        <v/>
      </c>
      <c r="AD32" s="53" t="str">
        <f>IF(AND('Mapa final'!$Y$33="Media",'Mapa final'!$AA$33="Mayor"),CONCATENATE("R7C",'Mapa final'!$O$33),"")</f>
        <v/>
      </c>
      <c r="AE32" s="53" t="str">
        <f>IF(AND('Mapa final'!$Y$34="Media",'Mapa final'!$AA$34="Mayor"),CONCATENATE("R7C",'Mapa final'!$O$34),"")</f>
        <v/>
      </c>
      <c r="AF32" s="53" t="str">
        <f>IF(AND('Mapa final'!$Y$35="Media",'Mapa final'!$AA$35="Mayor"),CONCATENATE("R7C",'Mapa final'!$O$35),"")</f>
        <v/>
      </c>
      <c r="AG32" s="54" t="str">
        <f>IF(AND('Mapa final'!$Y$36="Media",'Mapa final'!$AA$36="Mayor"),CONCATENATE("R7C",'Mapa final'!$O$36),"")</f>
        <v/>
      </c>
      <c r="AH32" s="55" t="str">
        <f>IF(AND('Mapa final'!$Y$31="Media",'Mapa final'!$AA$31="Catastrófico"),CONCATENATE("R7C",'Mapa final'!$O$31),"")</f>
        <v/>
      </c>
      <c r="AI32" s="56" t="str">
        <f>IF(AND('Mapa final'!$Y$32="Media",'Mapa final'!$AA$32="Catastrófico"),CONCATENATE("R7C",'Mapa final'!$O$32),"")</f>
        <v/>
      </c>
      <c r="AJ32" s="56" t="str">
        <f>IF(AND('Mapa final'!$Y$33="Media",'Mapa final'!$AA$33="Catastrófico"),CONCATENATE("R7C",'Mapa final'!$O$33),"")</f>
        <v/>
      </c>
      <c r="AK32" s="56" t="str">
        <f>IF(AND('Mapa final'!$Y$34="Media",'Mapa final'!$AA$34="Catastrófico"),CONCATENATE("R7C",'Mapa final'!$O$34),"")</f>
        <v/>
      </c>
      <c r="AL32" s="56" t="str">
        <f>IF(AND('Mapa final'!$Y$35="Media",'Mapa final'!$AA$35="Catastrófico"),CONCATENATE("R7C",'Mapa final'!$O$35),"")</f>
        <v/>
      </c>
      <c r="AM32" s="57" t="str">
        <f>IF(AND('Mapa final'!$Y$36="Media",'Mapa final'!$AA$36="Catastrófico"),CONCATENATE("R7C",'Mapa final'!$O$36),"")</f>
        <v/>
      </c>
      <c r="AN32" s="83"/>
      <c r="AO32" s="378"/>
      <c r="AP32" s="379"/>
      <c r="AQ32" s="379"/>
      <c r="AR32" s="379"/>
      <c r="AS32" s="379"/>
      <c r="AT32" s="38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97"/>
      <c r="C33" s="297"/>
      <c r="D33" s="298"/>
      <c r="E33" s="338"/>
      <c r="F33" s="339"/>
      <c r="G33" s="339"/>
      <c r="H33" s="339"/>
      <c r="I33" s="340"/>
      <c r="J33" s="67" t="str">
        <f>IF(AND('Mapa final'!$Y$37="Media",'Mapa final'!$AA$37="Leve"),CONCATENATE("R8C",'Mapa final'!$O$37),"")</f>
        <v/>
      </c>
      <c r="K33" s="68" t="str">
        <f>IF(AND('Mapa final'!$Y$38="Media",'Mapa final'!$AA$38="Leve"),CONCATENATE("R8C",'Mapa final'!$O$38),"")</f>
        <v/>
      </c>
      <c r="L33" s="68" t="str">
        <f>IF(AND('Mapa final'!$Y$39="Media",'Mapa final'!$AA$39="Leve"),CONCATENATE("R8C",'Mapa final'!$O$39),"")</f>
        <v/>
      </c>
      <c r="M33" s="68" t="str">
        <f>IF(AND('Mapa final'!$Y$40="Media",'Mapa final'!$AA$40="Leve"),CONCATENATE("R8C",'Mapa final'!$O$40),"")</f>
        <v/>
      </c>
      <c r="N33" s="68" t="str">
        <f>IF(AND('Mapa final'!$Y$41="Media",'Mapa final'!$AA$41="Leve"),CONCATENATE("R8C",'Mapa final'!$O$41),"")</f>
        <v/>
      </c>
      <c r="O33" s="69" t="str">
        <f>IF(AND('Mapa final'!$Y$42="Media",'Mapa final'!$AA$42="Leve"),CONCATENATE("R8C",'Mapa final'!$O$42),"")</f>
        <v/>
      </c>
      <c r="P33" s="67" t="str">
        <f>IF(AND('Mapa final'!$Y$37="Media",'Mapa final'!$AA$37="Menor"),CONCATENATE("R8C",'Mapa final'!$O$37),"")</f>
        <v/>
      </c>
      <c r="Q33" s="68" t="str">
        <f>IF(AND('Mapa final'!$Y$38="Media",'Mapa final'!$AA$38="Menor"),CONCATENATE("R8C",'Mapa final'!$O$38),"")</f>
        <v/>
      </c>
      <c r="R33" s="68" t="str">
        <f>IF(AND('Mapa final'!$Y$39="Media",'Mapa final'!$AA$39="Menor"),CONCATENATE("R8C",'Mapa final'!$O$39),"")</f>
        <v/>
      </c>
      <c r="S33" s="68" t="str">
        <f>IF(AND('Mapa final'!$Y$40="Media",'Mapa final'!$AA$40="Menor"),CONCATENATE("R8C",'Mapa final'!$O$40),"")</f>
        <v/>
      </c>
      <c r="T33" s="68" t="str">
        <f>IF(AND('Mapa final'!$Y$41="Media",'Mapa final'!$AA$41="Menor"),CONCATENATE("R8C",'Mapa final'!$O$41),"")</f>
        <v/>
      </c>
      <c r="U33" s="69" t="str">
        <f>IF(AND('Mapa final'!$Y$42="Media",'Mapa final'!$AA$42="Menor"),CONCATENATE("R8C",'Mapa final'!$O$42),"")</f>
        <v/>
      </c>
      <c r="V33" s="67" t="str">
        <f>IF(AND('Mapa final'!$Y$37="Media",'Mapa final'!$AA$37="Moderado"),CONCATENATE("R8C",'Mapa final'!$O$37),"")</f>
        <v/>
      </c>
      <c r="W33" s="68" t="str">
        <f>IF(AND('Mapa final'!$Y$38="Media",'Mapa final'!$AA$38="Moderado"),CONCATENATE("R8C",'Mapa final'!$O$38),"")</f>
        <v/>
      </c>
      <c r="X33" s="68" t="str">
        <f>IF(AND('Mapa final'!$Y$39="Media",'Mapa final'!$AA$39="Moderado"),CONCATENATE("R8C",'Mapa final'!$O$39),"")</f>
        <v/>
      </c>
      <c r="Y33" s="68" t="str">
        <f>IF(AND('Mapa final'!$Y$40="Media",'Mapa final'!$AA$40="Moderado"),CONCATENATE("R8C",'Mapa final'!$O$40),"")</f>
        <v/>
      </c>
      <c r="Z33" s="68" t="str">
        <f>IF(AND('Mapa final'!$Y$41="Media",'Mapa final'!$AA$41="Moderado"),CONCATENATE("R8C",'Mapa final'!$O$41),"")</f>
        <v/>
      </c>
      <c r="AA33" s="69" t="str">
        <f>IF(AND('Mapa final'!$Y$42="Media",'Mapa final'!$AA$42="Moderado"),CONCATENATE("R8C",'Mapa final'!$O$42),"")</f>
        <v/>
      </c>
      <c r="AB33" s="52" t="str">
        <f>IF(AND('Mapa final'!$Y$37="Media",'Mapa final'!$AA$37="Mayor"),CONCATENATE("R8C",'Mapa final'!$O$37),"")</f>
        <v/>
      </c>
      <c r="AC33" s="53" t="str">
        <f>IF(AND('Mapa final'!$Y$38="Media",'Mapa final'!$AA$38="Mayor"),CONCATENATE("R8C",'Mapa final'!$O$38),"")</f>
        <v/>
      </c>
      <c r="AD33" s="53" t="str">
        <f>IF(AND('Mapa final'!$Y$39="Media",'Mapa final'!$AA$39="Mayor"),CONCATENATE("R8C",'Mapa final'!$O$39),"")</f>
        <v/>
      </c>
      <c r="AE33" s="53" t="str">
        <f>IF(AND('Mapa final'!$Y$40="Media",'Mapa final'!$AA$40="Mayor"),CONCATENATE("R8C",'Mapa final'!$O$40),"")</f>
        <v/>
      </c>
      <c r="AF33" s="53" t="str">
        <f>IF(AND('Mapa final'!$Y$41="Media",'Mapa final'!$AA$41="Mayor"),CONCATENATE("R8C",'Mapa final'!$O$41),"")</f>
        <v/>
      </c>
      <c r="AG33" s="54" t="str">
        <f>IF(AND('Mapa final'!$Y$42="Media",'Mapa final'!$AA$42="Mayor"),CONCATENATE("R8C",'Mapa final'!$O$42),"")</f>
        <v/>
      </c>
      <c r="AH33" s="55" t="str">
        <f>IF(AND('Mapa final'!$Y$37="Media",'Mapa final'!$AA$37="Catastrófico"),CONCATENATE("R8C",'Mapa final'!$O$37),"")</f>
        <v/>
      </c>
      <c r="AI33" s="56" t="str">
        <f>IF(AND('Mapa final'!$Y$38="Media",'Mapa final'!$AA$38="Catastrófico"),CONCATENATE("R8C",'Mapa final'!$O$38),"")</f>
        <v/>
      </c>
      <c r="AJ33" s="56" t="str">
        <f>IF(AND('Mapa final'!$Y$39="Media",'Mapa final'!$AA$39="Catastrófico"),CONCATENATE("R8C",'Mapa final'!$O$39),"")</f>
        <v/>
      </c>
      <c r="AK33" s="56" t="str">
        <f>IF(AND('Mapa final'!$Y$40="Media",'Mapa final'!$AA$40="Catastrófico"),CONCATENATE("R8C",'Mapa final'!$O$40),"")</f>
        <v/>
      </c>
      <c r="AL33" s="56" t="str">
        <f>IF(AND('Mapa final'!$Y$41="Media",'Mapa final'!$AA$41="Catastrófico"),CONCATENATE("R8C",'Mapa final'!$O$41),"")</f>
        <v/>
      </c>
      <c r="AM33" s="57" t="str">
        <f>IF(AND('Mapa final'!$Y$42="Media",'Mapa final'!$AA$42="Catastrófico"),CONCATENATE("R8C",'Mapa final'!$O$42),"")</f>
        <v/>
      </c>
      <c r="AN33" s="83"/>
      <c r="AO33" s="378"/>
      <c r="AP33" s="379"/>
      <c r="AQ33" s="379"/>
      <c r="AR33" s="379"/>
      <c r="AS33" s="379"/>
      <c r="AT33" s="38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97"/>
      <c r="C34" s="297"/>
      <c r="D34" s="298"/>
      <c r="E34" s="338"/>
      <c r="F34" s="339"/>
      <c r="G34" s="339"/>
      <c r="H34" s="339"/>
      <c r="I34" s="340"/>
      <c r="J34" s="67" t="str">
        <f>IF(AND('Mapa final'!$Y$43="Media",'Mapa final'!$AA$43="Leve"),CONCATENATE("R9C",'Mapa final'!$O$43),"")</f>
        <v/>
      </c>
      <c r="K34" s="68" t="str">
        <f>IF(AND('Mapa final'!$Y$44="Media",'Mapa final'!$AA$44="Leve"),CONCATENATE("R9C",'Mapa final'!$O$44),"")</f>
        <v/>
      </c>
      <c r="L34" s="68" t="str">
        <f>IF(AND('Mapa final'!$Y$45="Media",'Mapa final'!$AA$45="Leve"),CONCATENATE("R9C",'Mapa final'!$O$45),"")</f>
        <v/>
      </c>
      <c r="M34" s="68" t="str">
        <f>IF(AND('Mapa final'!$Y$46="Media",'Mapa final'!$AA$46="Leve"),CONCATENATE("R9C",'Mapa final'!$O$46),"")</f>
        <v/>
      </c>
      <c r="N34" s="68" t="str">
        <f>IF(AND('Mapa final'!$Y$47="Media",'Mapa final'!$AA$47="Leve"),CONCATENATE("R9C",'Mapa final'!$O$47),"")</f>
        <v/>
      </c>
      <c r="O34" s="69" t="str">
        <f>IF(AND('Mapa final'!$Y$48="Media",'Mapa final'!$AA$48="Leve"),CONCATENATE("R9C",'Mapa final'!$O$48),"")</f>
        <v/>
      </c>
      <c r="P34" s="67" t="str">
        <f>IF(AND('Mapa final'!$Y$43="Media",'Mapa final'!$AA$43="Menor"),CONCATENATE("R9C",'Mapa final'!$O$43),"")</f>
        <v/>
      </c>
      <c r="Q34" s="68" t="str">
        <f>IF(AND('Mapa final'!$Y$44="Media",'Mapa final'!$AA$44="Menor"),CONCATENATE("R9C",'Mapa final'!$O$44),"")</f>
        <v/>
      </c>
      <c r="R34" s="68" t="str">
        <f>IF(AND('Mapa final'!$Y$45="Media",'Mapa final'!$AA$45="Menor"),CONCATENATE("R9C",'Mapa final'!$O$45),"")</f>
        <v/>
      </c>
      <c r="S34" s="68" t="str">
        <f>IF(AND('Mapa final'!$Y$46="Media",'Mapa final'!$AA$46="Menor"),CONCATENATE("R9C",'Mapa final'!$O$46),"")</f>
        <v/>
      </c>
      <c r="T34" s="68" t="str">
        <f>IF(AND('Mapa final'!$Y$47="Media",'Mapa final'!$AA$47="Menor"),CONCATENATE("R9C",'Mapa final'!$O$47),"")</f>
        <v/>
      </c>
      <c r="U34" s="69" t="str">
        <f>IF(AND('Mapa final'!$Y$48="Media",'Mapa final'!$AA$48="Menor"),CONCATENATE("R9C",'Mapa final'!$O$48),"")</f>
        <v/>
      </c>
      <c r="V34" s="67" t="str">
        <f>IF(AND('Mapa final'!$Y$43="Media",'Mapa final'!$AA$43="Moderado"),CONCATENATE("R9C",'Mapa final'!$O$43),"")</f>
        <v/>
      </c>
      <c r="W34" s="68" t="str">
        <f>IF(AND('Mapa final'!$Y$44="Media",'Mapa final'!$AA$44="Moderado"),CONCATENATE("R9C",'Mapa final'!$O$44),"")</f>
        <v/>
      </c>
      <c r="X34" s="68" t="str">
        <f>IF(AND('Mapa final'!$Y$45="Media",'Mapa final'!$AA$45="Moderado"),CONCATENATE("R9C",'Mapa final'!$O$45),"")</f>
        <v/>
      </c>
      <c r="Y34" s="68" t="str">
        <f>IF(AND('Mapa final'!$Y$46="Media",'Mapa final'!$AA$46="Moderado"),CONCATENATE("R9C",'Mapa final'!$O$46),"")</f>
        <v/>
      </c>
      <c r="Z34" s="68" t="str">
        <f>IF(AND('Mapa final'!$Y$47="Media",'Mapa final'!$AA$47="Moderado"),CONCATENATE("R9C",'Mapa final'!$O$47),"")</f>
        <v/>
      </c>
      <c r="AA34" s="69" t="str">
        <f>IF(AND('Mapa final'!$Y$48="Media",'Mapa final'!$AA$48="Moderado"),CONCATENATE("R9C",'Mapa final'!$O$48),"")</f>
        <v/>
      </c>
      <c r="AB34" s="52" t="str">
        <f>IF(AND('Mapa final'!$Y$43="Media",'Mapa final'!$AA$43="Mayor"),CONCATENATE("R9C",'Mapa final'!$O$43),"")</f>
        <v/>
      </c>
      <c r="AC34" s="53" t="str">
        <f>IF(AND('Mapa final'!$Y$44="Media",'Mapa final'!$AA$44="Mayor"),CONCATENATE("R9C",'Mapa final'!$O$44),"")</f>
        <v/>
      </c>
      <c r="AD34" s="53" t="str">
        <f>IF(AND('Mapa final'!$Y$45="Media",'Mapa final'!$AA$45="Mayor"),CONCATENATE("R9C",'Mapa final'!$O$45),"")</f>
        <v/>
      </c>
      <c r="AE34" s="53" t="str">
        <f>IF(AND('Mapa final'!$Y$46="Media",'Mapa final'!$AA$46="Mayor"),CONCATENATE("R9C",'Mapa final'!$O$46),"")</f>
        <v/>
      </c>
      <c r="AF34" s="53" t="str">
        <f>IF(AND('Mapa final'!$Y$47="Media",'Mapa final'!$AA$47="Mayor"),CONCATENATE("R9C",'Mapa final'!$O$47),"")</f>
        <v/>
      </c>
      <c r="AG34" s="54" t="str">
        <f>IF(AND('Mapa final'!$Y$48="Media",'Mapa final'!$AA$48="Mayor"),CONCATENATE("R9C",'Mapa final'!$O$48),"")</f>
        <v/>
      </c>
      <c r="AH34" s="55" t="str">
        <f>IF(AND('Mapa final'!$Y$43="Media",'Mapa final'!$AA$43="Catastrófico"),CONCATENATE("R9C",'Mapa final'!$O$43),"")</f>
        <v/>
      </c>
      <c r="AI34" s="56" t="str">
        <f>IF(AND('Mapa final'!$Y$44="Media",'Mapa final'!$AA$44="Catastrófico"),CONCATENATE("R9C",'Mapa final'!$O$44),"")</f>
        <v/>
      </c>
      <c r="AJ34" s="56" t="str">
        <f>IF(AND('Mapa final'!$Y$45="Media",'Mapa final'!$AA$45="Catastrófico"),CONCATENATE("R9C",'Mapa final'!$O$45),"")</f>
        <v/>
      </c>
      <c r="AK34" s="56" t="str">
        <f>IF(AND('Mapa final'!$Y$46="Media",'Mapa final'!$AA$46="Catastrófico"),CONCATENATE("R9C",'Mapa final'!$O$46),"")</f>
        <v/>
      </c>
      <c r="AL34" s="56" t="str">
        <f>IF(AND('Mapa final'!$Y$47="Media",'Mapa final'!$AA$47="Catastrófico"),CONCATENATE("R9C",'Mapa final'!$O$47),"")</f>
        <v/>
      </c>
      <c r="AM34" s="57" t="str">
        <f>IF(AND('Mapa final'!$Y$48="Media",'Mapa final'!$AA$48="Catastrófico"),CONCATENATE("R9C",'Mapa final'!$O$48),"")</f>
        <v/>
      </c>
      <c r="AN34" s="83"/>
      <c r="AO34" s="378"/>
      <c r="AP34" s="379"/>
      <c r="AQ34" s="379"/>
      <c r="AR34" s="379"/>
      <c r="AS34" s="379"/>
      <c r="AT34" s="38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97"/>
      <c r="C35" s="297"/>
      <c r="D35" s="298"/>
      <c r="E35" s="341"/>
      <c r="F35" s="342"/>
      <c r="G35" s="342"/>
      <c r="H35" s="342"/>
      <c r="I35" s="343"/>
      <c r="J35" s="67" t="str">
        <f>IF(AND('Mapa final'!$Y$49="Media",'Mapa final'!$AA$49="Leve"),CONCATENATE("R10C",'Mapa final'!$O$49),"")</f>
        <v/>
      </c>
      <c r="K35" s="68" t="str">
        <f>IF(AND('Mapa final'!$Y$50="Media",'Mapa final'!$AA$50="Leve"),CONCATENATE("R10C",'Mapa final'!$O$50),"")</f>
        <v/>
      </c>
      <c r="L35" s="68" t="str">
        <f>IF(AND('Mapa final'!$Y$51="Media",'Mapa final'!$AA$51="Leve"),CONCATENATE("R10C",'Mapa final'!$O$51),"")</f>
        <v/>
      </c>
      <c r="M35" s="68" t="str">
        <f>IF(AND('Mapa final'!$Y$52="Media",'Mapa final'!$AA$52="Leve"),CONCATENATE("R10C",'Mapa final'!$O$52),"")</f>
        <v/>
      </c>
      <c r="N35" s="68" t="str">
        <f>IF(AND('Mapa final'!$Y$53="Media",'Mapa final'!$AA$53="Leve"),CONCATENATE("R10C",'Mapa final'!$O$53),"")</f>
        <v/>
      </c>
      <c r="O35" s="69" t="str">
        <f>IF(AND('Mapa final'!$Y$54="Media",'Mapa final'!$AA$54="Leve"),CONCATENATE("R10C",'Mapa final'!$O$54),"")</f>
        <v/>
      </c>
      <c r="P35" s="67" t="str">
        <f>IF(AND('Mapa final'!$Y$49="Media",'Mapa final'!$AA$49="Menor"),CONCATENATE("R10C",'Mapa final'!$O$49),"")</f>
        <v/>
      </c>
      <c r="Q35" s="68" t="str">
        <f>IF(AND('Mapa final'!$Y$50="Media",'Mapa final'!$AA$50="Menor"),CONCATENATE("R10C",'Mapa final'!$O$50),"")</f>
        <v/>
      </c>
      <c r="R35" s="68" t="str">
        <f>IF(AND('Mapa final'!$Y$51="Media",'Mapa final'!$AA$51="Menor"),CONCATENATE("R10C",'Mapa final'!$O$51),"")</f>
        <v/>
      </c>
      <c r="S35" s="68" t="str">
        <f>IF(AND('Mapa final'!$Y$52="Media",'Mapa final'!$AA$52="Menor"),CONCATENATE("R10C",'Mapa final'!$O$52),"")</f>
        <v/>
      </c>
      <c r="T35" s="68" t="str">
        <f>IF(AND('Mapa final'!$Y$53="Media",'Mapa final'!$AA$53="Menor"),CONCATENATE("R10C",'Mapa final'!$O$53),"")</f>
        <v/>
      </c>
      <c r="U35" s="69" t="str">
        <f>IF(AND('Mapa final'!$Y$54="Media",'Mapa final'!$AA$54="Menor"),CONCATENATE("R10C",'Mapa final'!$O$54),"")</f>
        <v/>
      </c>
      <c r="V35" s="67" t="str">
        <f>IF(AND('Mapa final'!$Y$49="Media",'Mapa final'!$AA$49="Moderado"),CONCATENATE("R10C",'Mapa final'!$O$49),"")</f>
        <v/>
      </c>
      <c r="W35" s="68" t="str">
        <f>IF(AND('Mapa final'!$Y$50="Media",'Mapa final'!$AA$50="Moderado"),CONCATENATE("R10C",'Mapa final'!$O$50),"")</f>
        <v/>
      </c>
      <c r="X35" s="68" t="str">
        <f>IF(AND('Mapa final'!$Y$51="Media",'Mapa final'!$AA$51="Moderado"),CONCATENATE("R10C",'Mapa final'!$O$51),"")</f>
        <v/>
      </c>
      <c r="Y35" s="68" t="str">
        <f>IF(AND('Mapa final'!$Y$52="Media",'Mapa final'!$AA$52="Moderado"),CONCATENATE("R10C",'Mapa final'!$O$52),"")</f>
        <v/>
      </c>
      <c r="Z35" s="68" t="str">
        <f>IF(AND('Mapa final'!$Y$53="Media",'Mapa final'!$AA$53="Moderado"),CONCATENATE("R10C",'Mapa final'!$O$53),"")</f>
        <v/>
      </c>
      <c r="AA35" s="69" t="str">
        <f>IF(AND('Mapa final'!$Y$54="Media",'Mapa final'!$AA$54="Moderado"),CONCATENATE("R10C",'Mapa final'!$O$54),"")</f>
        <v/>
      </c>
      <c r="AB35" s="58" t="str">
        <f>IF(AND('Mapa final'!$Y$49="Media",'Mapa final'!$AA$49="Mayor"),CONCATENATE("R10C",'Mapa final'!$O$49),"")</f>
        <v/>
      </c>
      <c r="AC35" s="59" t="str">
        <f>IF(AND('Mapa final'!$Y$50="Media",'Mapa final'!$AA$50="Mayor"),CONCATENATE("R10C",'Mapa final'!$O$50),"")</f>
        <v/>
      </c>
      <c r="AD35" s="59" t="str">
        <f>IF(AND('Mapa final'!$Y$51="Media",'Mapa final'!$AA$51="Mayor"),CONCATENATE("R10C",'Mapa final'!$O$51),"")</f>
        <v/>
      </c>
      <c r="AE35" s="59" t="str">
        <f>IF(AND('Mapa final'!$Y$52="Media",'Mapa final'!$AA$52="Mayor"),CONCATENATE("R10C",'Mapa final'!$O$52),"")</f>
        <v/>
      </c>
      <c r="AF35" s="59" t="str">
        <f>IF(AND('Mapa final'!$Y$53="Media",'Mapa final'!$AA$53="Mayor"),CONCATENATE("R10C",'Mapa final'!$O$53),"")</f>
        <v/>
      </c>
      <c r="AG35" s="60" t="str">
        <f>IF(AND('Mapa final'!$Y$54="Media",'Mapa final'!$AA$54="Mayor"),CONCATENATE("R10C",'Mapa final'!$O$54),"")</f>
        <v/>
      </c>
      <c r="AH35" s="61" t="str">
        <f>IF(AND('Mapa final'!$Y$49="Media",'Mapa final'!$AA$49="Catastrófico"),CONCATENATE("R10C",'Mapa final'!$O$49),"")</f>
        <v/>
      </c>
      <c r="AI35" s="62" t="str">
        <f>IF(AND('Mapa final'!$Y$50="Media",'Mapa final'!$AA$50="Catastrófico"),CONCATENATE("R10C",'Mapa final'!$O$50),"")</f>
        <v/>
      </c>
      <c r="AJ35" s="62" t="str">
        <f>IF(AND('Mapa final'!$Y$51="Media",'Mapa final'!$AA$51="Catastrófico"),CONCATENATE("R10C",'Mapa final'!$O$51),"")</f>
        <v/>
      </c>
      <c r="AK35" s="62" t="str">
        <f>IF(AND('Mapa final'!$Y$52="Media",'Mapa final'!$AA$52="Catastrófico"),CONCATENATE("R10C",'Mapa final'!$O$52),"")</f>
        <v/>
      </c>
      <c r="AL35" s="62" t="str">
        <f>IF(AND('Mapa final'!$Y$53="Media",'Mapa final'!$AA$53="Catastrófico"),CONCATENATE("R10C",'Mapa final'!$O$53),"")</f>
        <v/>
      </c>
      <c r="AM35" s="63" t="str">
        <f>IF(AND('Mapa final'!$Y$54="Media",'Mapa final'!$AA$54="Catastrófico"),CONCATENATE("R10C",'Mapa final'!$O$54),"")</f>
        <v/>
      </c>
      <c r="AN35" s="83"/>
      <c r="AO35" s="381"/>
      <c r="AP35" s="382"/>
      <c r="AQ35" s="382"/>
      <c r="AR35" s="382"/>
      <c r="AS35" s="382"/>
      <c r="AT35" s="3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97"/>
      <c r="C36" s="297"/>
      <c r="D36" s="298"/>
      <c r="E36" s="335" t="s">
        <v>114</v>
      </c>
      <c r="F36" s="336"/>
      <c r="G36" s="336"/>
      <c r="H36" s="336"/>
      <c r="I36" s="336"/>
      <c r="J36" s="73" t="str">
        <f>IF(AND('Mapa final'!$Y$10="Baja",'Mapa final'!$AA$10="Leve"),CONCATENATE("R1C",'Mapa final'!$O$10),"")</f>
        <v/>
      </c>
      <c r="K36" s="74" t="e">
        <f>IF(AND('Mapa final'!#REF!="Baja",'Mapa final'!#REF!="Leve"),CONCATENATE("R1C",'Mapa final'!#REF!),"")</f>
        <v>#REF!</v>
      </c>
      <c r="L36" s="74" t="e">
        <f>IF(AND('Mapa final'!#REF!="Baja",'Mapa final'!#REF!="Leve"),CONCATENATE("R1C",'Mapa final'!#REF!),"")</f>
        <v>#REF!</v>
      </c>
      <c r="M36" s="74" t="e">
        <f>IF(AND('Mapa final'!#REF!="Baja",'Mapa final'!#REF!="Leve"),CONCATENATE("R1C",'Mapa final'!#REF!),"")</f>
        <v>#REF!</v>
      </c>
      <c r="N36" s="74" t="e">
        <f>IF(AND('Mapa final'!#REF!="Baja",'Mapa final'!#REF!="Leve"),CONCATENATE("R1C",'Mapa final'!#REF!),"")</f>
        <v>#REF!</v>
      </c>
      <c r="O36" s="75" t="e">
        <f>IF(AND('Mapa final'!#REF!="Baja",'Mapa final'!#REF!="Leve"),CONCATENATE("R1C",'Mapa final'!#REF!),"")</f>
        <v>#REF!</v>
      </c>
      <c r="P36" s="64" t="str">
        <f>IF(AND('Mapa final'!$Y$10="Baja",'Mapa final'!$AA$10="Menor"),CONCATENATE("R1C",'Mapa final'!$O$10),"")</f>
        <v/>
      </c>
      <c r="Q36" s="65" t="e">
        <f>IF(AND('Mapa final'!#REF!="Baja",'Mapa final'!#REF!="Menor"),CONCATENATE("R1C",'Mapa final'!#REF!),"")</f>
        <v>#REF!</v>
      </c>
      <c r="R36" s="65" t="e">
        <f>IF(AND('Mapa final'!#REF!="Baja",'Mapa final'!#REF!="Menor"),CONCATENATE("R1C",'Mapa final'!#REF!),"")</f>
        <v>#REF!</v>
      </c>
      <c r="S36" s="65" t="e">
        <f>IF(AND('Mapa final'!#REF!="Baja",'Mapa final'!#REF!="Menor"),CONCATENATE("R1C",'Mapa final'!#REF!),"")</f>
        <v>#REF!</v>
      </c>
      <c r="T36" s="65" t="e">
        <f>IF(AND('Mapa final'!#REF!="Baja",'Mapa final'!#REF!="Menor"),CONCATENATE("R1C",'Mapa final'!#REF!),"")</f>
        <v>#REF!</v>
      </c>
      <c r="U36" s="66" t="e">
        <f>IF(AND('Mapa final'!#REF!="Baja",'Mapa final'!#REF!="Menor"),CONCATENATE("R1C",'Mapa final'!#REF!),"")</f>
        <v>#REF!</v>
      </c>
      <c r="V36" s="64" t="str">
        <f>IF(AND('Mapa final'!$Y$10="Baja",'Mapa final'!$AA$10="Moderado"),CONCATENATE("R1C",'Mapa final'!$O$10),"")</f>
        <v/>
      </c>
      <c r="W36" s="65" t="e">
        <f>IF(AND('Mapa final'!#REF!="Baja",'Mapa final'!#REF!="Moderado"),CONCATENATE("R1C",'Mapa final'!#REF!),"")</f>
        <v>#REF!</v>
      </c>
      <c r="X36" s="65" t="e">
        <f>IF(AND('Mapa final'!#REF!="Baja",'Mapa final'!#REF!="Moderado"),CONCATENATE("R1C",'Mapa final'!#REF!),"")</f>
        <v>#REF!</v>
      </c>
      <c r="Y36" s="65" t="e">
        <f>IF(AND('Mapa final'!#REF!="Baja",'Mapa final'!#REF!="Moderado"),CONCATENATE("R1C",'Mapa final'!#REF!),"")</f>
        <v>#REF!</v>
      </c>
      <c r="Z36" s="65" t="e">
        <f>IF(AND('Mapa final'!#REF!="Baja",'Mapa final'!#REF!="Moderado"),CONCATENATE("R1C",'Mapa final'!#REF!),"")</f>
        <v>#REF!</v>
      </c>
      <c r="AA36" s="66" t="e">
        <f>IF(AND('Mapa final'!#REF!="Baja",'Mapa final'!#REF!="Moderado"),CONCATENATE("R1C",'Mapa final'!#REF!),"")</f>
        <v>#REF!</v>
      </c>
      <c r="AB36" s="46" t="str">
        <f>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3"/>
      <c r="AO36" s="366" t="s">
        <v>82</v>
      </c>
      <c r="AP36" s="367"/>
      <c r="AQ36" s="367"/>
      <c r="AR36" s="367"/>
      <c r="AS36" s="367"/>
      <c r="AT36" s="36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97"/>
      <c r="C37" s="297"/>
      <c r="D37" s="298"/>
      <c r="E37" s="354"/>
      <c r="F37" s="339"/>
      <c r="G37" s="339"/>
      <c r="H37" s="339"/>
      <c r="I37" s="339"/>
      <c r="J37" s="76" t="str">
        <f>IF(AND('Mapa final'!$Y$11="Baja",'Mapa final'!$AA$11="Leve"),CONCATENATE("R2C",'Mapa final'!$O$11),"")</f>
        <v/>
      </c>
      <c r="K37" s="77" t="e">
        <f>IF(AND('Mapa final'!#REF!="Baja",'Mapa final'!#REF!="Leve"),CONCATENATE("R2C",'Mapa final'!#REF!),"")</f>
        <v>#REF!</v>
      </c>
      <c r="L37" s="77" t="e">
        <f>IF(AND('Mapa final'!#REF!="Baja",'Mapa final'!#REF!="Leve"),CONCATENATE("R2C",'Mapa final'!#REF!),"")</f>
        <v>#REF!</v>
      </c>
      <c r="M37" s="77" t="e">
        <f>IF(AND('Mapa final'!#REF!="Baja",'Mapa final'!#REF!="Leve"),CONCATENATE("R2C",'Mapa final'!#REF!),"")</f>
        <v>#REF!</v>
      </c>
      <c r="N37" s="77" t="e">
        <f>IF(AND('Mapa final'!#REF!="Baja",'Mapa final'!#REF!="Leve"),CONCATENATE("R2C",'Mapa final'!#REF!),"")</f>
        <v>#REF!</v>
      </c>
      <c r="O37" s="78" t="e">
        <f>IF(AND('Mapa final'!#REF!="Baja",'Mapa final'!#REF!="Leve"),CONCATENATE("R2C",'Mapa final'!#REF!),"")</f>
        <v>#REF!</v>
      </c>
      <c r="P37" s="67" t="str">
        <f>IF(AND('Mapa final'!$Y$11="Baja",'Mapa final'!$AA$11="Menor"),CONCATENATE("R2C",'Mapa final'!$O$11),"")</f>
        <v/>
      </c>
      <c r="Q37" s="68" t="e">
        <f>IF(AND('Mapa final'!#REF!="Baja",'Mapa final'!#REF!="Menor"),CONCATENATE("R2C",'Mapa final'!#REF!),"")</f>
        <v>#REF!</v>
      </c>
      <c r="R37" s="68" t="e">
        <f>IF(AND('Mapa final'!#REF!="Baja",'Mapa final'!#REF!="Menor"),CONCATENATE("R2C",'Mapa final'!#REF!),"")</f>
        <v>#REF!</v>
      </c>
      <c r="S37" s="68" t="e">
        <f>IF(AND('Mapa final'!#REF!="Baja",'Mapa final'!#REF!="Menor"),CONCATENATE("R2C",'Mapa final'!#REF!),"")</f>
        <v>#REF!</v>
      </c>
      <c r="T37" s="68" t="e">
        <f>IF(AND('Mapa final'!#REF!="Baja",'Mapa final'!#REF!="Menor"),CONCATENATE("R2C",'Mapa final'!#REF!),"")</f>
        <v>#REF!</v>
      </c>
      <c r="U37" s="69" t="e">
        <f>IF(AND('Mapa final'!#REF!="Baja",'Mapa final'!#REF!="Menor"),CONCATENATE("R2C",'Mapa final'!#REF!),"")</f>
        <v>#REF!</v>
      </c>
      <c r="V37" s="67" t="str">
        <f>IF(AND('Mapa final'!$Y$11="Baja",'Mapa final'!$AA$11="Moderado"),CONCATENATE("R2C",'Mapa final'!$O$11),"")</f>
        <v/>
      </c>
      <c r="W37" s="68" t="e">
        <f>IF(AND('Mapa final'!#REF!="Baja",'Mapa final'!#REF!="Moderado"),CONCATENATE("R2C",'Mapa final'!#REF!),"")</f>
        <v>#REF!</v>
      </c>
      <c r="X37" s="68" t="e">
        <f>IF(AND('Mapa final'!#REF!="Baja",'Mapa final'!#REF!="Moderado"),CONCATENATE("R2C",'Mapa final'!#REF!),"")</f>
        <v>#REF!</v>
      </c>
      <c r="Y37" s="68" t="e">
        <f>IF(AND('Mapa final'!#REF!="Baja",'Mapa final'!#REF!="Moderado"),CONCATENATE("R2C",'Mapa final'!#REF!),"")</f>
        <v>#REF!</v>
      </c>
      <c r="Z37" s="68" t="e">
        <f>IF(AND('Mapa final'!#REF!="Baja",'Mapa final'!#REF!="Moderado"),CONCATENATE("R2C",'Mapa final'!#REF!),"")</f>
        <v>#REF!</v>
      </c>
      <c r="AA37" s="69" t="e">
        <f>IF(AND('Mapa final'!#REF!="Baja",'Mapa final'!#REF!="Moderado"),CONCATENATE("R2C",'Mapa final'!#REF!),"")</f>
        <v>#REF!</v>
      </c>
      <c r="AB37" s="52" t="str">
        <f>IF(AND('Mapa final'!$Y$11="Baja",'Mapa final'!$AA$11="Mayor"),CONCATENATE("R2C",'Mapa final'!$O$11),"")</f>
        <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str">
        <f>IF(AND('Mapa final'!$Y$11="Baja",'Mapa final'!$AA$11="Catastrófico"),CONCATENATE("R2C",'Mapa final'!$O$11),"")</f>
        <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3"/>
      <c r="AO37" s="369"/>
      <c r="AP37" s="370"/>
      <c r="AQ37" s="370"/>
      <c r="AR37" s="370"/>
      <c r="AS37" s="370"/>
      <c r="AT37" s="37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97"/>
      <c r="C38" s="297"/>
      <c r="D38" s="298"/>
      <c r="E38" s="338"/>
      <c r="F38" s="339"/>
      <c r="G38" s="339"/>
      <c r="H38" s="339"/>
      <c r="I38" s="339"/>
      <c r="J38" s="76" t="str">
        <f>IF(AND('Mapa final'!$Y$12="Baja",'Mapa final'!$AA$12="Leve"),CONCATENATE("R3C",'Mapa final'!$O$12),"")</f>
        <v/>
      </c>
      <c r="K38" s="77" t="e">
        <f>IF(AND('Mapa final'!#REF!="Baja",'Mapa final'!#REF!="Leve"),CONCATENATE("R3C",'Mapa final'!#REF!),"")</f>
        <v>#REF!</v>
      </c>
      <c r="L38" s="77" t="e">
        <f>IF(AND('Mapa final'!#REF!="Baja",'Mapa final'!#REF!="Leve"),CONCATENATE("R3C",'Mapa final'!#REF!),"")</f>
        <v>#REF!</v>
      </c>
      <c r="M38" s="77" t="e">
        <f>IF(AND('Mapa final'!#REF!="Baja",'Mapa final'!#REF!="Leve"),CONCATENATE("R3C",'Mapa final'!#REF!),"")</f>
        <v>#REF!</v>
      </c>
      <c r="N38" s="77" t="e">
        <f>IF(AND('Mapa final'!#REF!="Baja",'Mapa final'!#REF!="Leve"),CONCATENATE("R3C",'Mapa final'!#REF!),"")</f>
        <v>#REF!</v>
      </c>
      <c r="O38" s="78" t="e">
        <f>IF(AND('Mapa final'!#REF!="Baja",'Mapa final'!#REF!="Leve"),CONCATENATE("R3C",'Mapa final'!#REF!),"")</f>
        <v>#REF!</v>
      </c>
      <c r="P38" s="67" t="str">
        <f>IF(AND('Mapa final'!$Y$12="Baja",'Mapa final'!$AA$12="Menor"),CONCATENATE("R3C",'Mapa final'!$O$12),"")</f>
        <v/>
      </c>
      <c r="Q38" s="68" t="e">
        <f>IF(AND('Mapa final'!#REF!="Baja",'Mapa final'!#REF!="Menor"),CONCATENATE("R3C",'Mapa final'!#REF!),"")</f>
        <v>#REF!</v>
      </c>
      <c r="R38" s="68" t="e">
        <f>IF(AND('Mapa final'!#REF!="Baja",'Mapa final'!#REF!="Menor"),CONCATENATE("R3C",'Mapa final'!#REF!),"")</f>
        <v>#REF!</v>
      </c>
      <c r="S38" s="68" t="e">
        <f>IF(AND('Mapa final'!#REF!="Baja",'Mapa final'!#REF!="Menor"),CONCATENATE("R3C",'Mapa final'!#REF!),"")</f>
        <v>#REF!</v>
      </c>
      <c r="T38" s="68" t="e">
        <f>IF(AND('Mapa final'!#REF!="Baja",'Mapa final'!#REF!="Menor"),CONCATENATE("R3C",'Mapa final'!#REF!),"")</f>
        <v>#REF!</v>
      </c>
      <c r="U38" s="69" t="e">
        <f>IF(AND('Mapa final'!#REF!="Baja",'Mapa final'!#REF!="Menor"),CONCATENATE("R3C",'Mapa final'!#REF!),"")</f>
        <v>#REF!</v>
      </c>
      <c r="V38" s="67" t="str">
        <f>IF(AND('Mapa final'!$Y$12="Baja",'Mapa final'!$AA$12="Moderado"),CONCATENATE("R3C",'Mapa final'!$O$12),"")</f>
        <v/>
      </c>
      <c r="W38" s="68" t="e">
        <f>IF(AND('Mapa final'!#REF!="Baja",'Mapa final'!#REF!="Moderado"),CONCATENATE("R3C",'Mapa final'!#REF!),"")</f>
        <v>#REF!</v>
      </c>
      <c r="X38" s="68" t="e">
        <f>IF(AND('Mapa final'!#REF!="Baja",'Mapa final'!#REF!="Moderado"),CONCATENATE("R3C",'Mapa final'!#REF!),"")</f>
        <v>#REF!</v>
      </c>
      <c r="Y38" s="68" t="e">
        <f>IF(AND('Mapa final'!#REF!="Baja",'Mapa final'!#REF!="Moderado"),CONCATENATE("R3C",'Mapa final'!#REF!),"")</f>
        <v>#REF!</v>
      </c>
      <c r="Z38" s="68" t="e">
        <f>IF(AND('Mapa final'!#REF!="Baja",'Mapa final'!#REF!="Moderado"),CONCATENATE("R3C",'Mapa final'!#REF!),"")</f>
        <v>#REF!</v>
      </c>
      <c r="AA38" s="69" t="e">
        <f>IF(AND('Mapa final'!#REF!="Baja",'Mapa final'!#REF!="Moderado"),CONCATENATE("R3C",'Mapa final'!#REF!),"")</f>
        <v>#REF!</v>
      </c>
      <c r="AB38" s="52" t="str">
        <f>IF(AND('Mapa final'!$Y$12="Baja",'Mapa final'!$AA$12="Mayor"),CONCATENATE("R3C",'Mapa final'!$O$12),"")</f>
        <v/>
      </c>
      <c r="AC38" s="53" t="e">
        <f>IF(AND('Mapa final'!#REF!="Baja",'Mapa final'!#REF!="Mayor"),CONCATENATE("R3C",'Mapa final'!#REF!),"")</f>
        <v>#REF!</v>
      </c>
      <c r="AD38" s="53" t="e">
        <f>IF(AND('Mapa final'!#REF!="Baja",'Mapa final'!#REF!="Mayor"),CONCATENATE("R3C",'Mapa final'!#REF!),"")</f>
        <v>#REF!</v>
      </c>
      <c r="AE38" s="53" t="e">
        <f>IF(AND('Mapa final'!#REF!="Baja",'Mapa final'!#REF!="Mayor"),CONCATENATE("R3C",'Mapa final'!#REF!),"")</f>
        <v>#REF!</v>
      </c>
      <c r="AF38" s="53" t="e">
        <f>IF(AND('Mapa final'!#REF!="Baja",'Mapa final'!#REF!="Mayor"),CONCATENATE("R3C",'Mapa final'!#REF!),"")</f>
        <v>#REF!</v>
      </c>
      <c r="AG38" s="54" t="e">
        <f>IF(AND('Mapa final'!#REF!="Baja",'Mapa final'!#REF!="Mayor"),CONCATENATE("R3C",'Mapa final'!#REF!),"")</f>
        <v>#REF!</v>
      </c>
      <c r="AH38" s="55" t="str">
        <f>IF(AND('Mapa final'!$Y$12="Baja",'Mapa final'!$AA$12="Catastrófico"),CONCATENATE("R3C",'Mapa final'!$O$12),"")</f>
        <v/>
      </c>
      <c r="AI38" s="56" t="e">
        <f>IF(AND('Mapa final'!#REF!="Baja",'Mapa final'!#REF!="Catastrófico"),CONCATENATE("R3C",'Mapa final'!#REF!),"")</f>
        <v>#REF!</v>
      </c>
      <c r="AJ38" s="56" t="e">
        <f>IF(AND('Mapa final'!#REF!="Baja",'Mapa final'!#REF!="Catastrófico"),CONCATENATE("R3C",'Mapa final'!#REF!),"")</f>
        <v>#REF!</v>
      </c>
      <c r="AK38" s="56" t="e">
        <f>IF(AND('Mapa final'!#REF!="Baja",'Mapa final'!#REF!="Catastrófico"),CONCATENATE("R3C",'Mapa final'!#REF!),"")</f>
        <v>#REF!</v>
      </c>
      <c r="AL38" s="56" t="e">
        <f>IF(AND('Mapa final'!#REF!="Baja",'Mapa final'!#REF!="Catastrófico"),CONCATENATE("R3C",'Mapa final'!#REF!),"")</f>
        <v>#REF!</v>
      </c>
      <c r="AM38" s="57" t="e">
        <f>IF(AND('Mapa final'!#REF!="Baja",'Mapa final'!#REF!="Catastrófico"),CONCATENATE("R3C",'Mapa final'!#REF!),"")</f>
        <v>#REF!</v>
      </c>
      <c r="AN38" s="83"/>
      <c r="AO38" s="369"/>
      <c r="AP38" s="370"/>
      <c r="AQ38" s="370"/>
      <c r="AR38" s="370"/>
      <c r="AS38" s="370"/>
      <c r="AT38" s="371"/>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97"/>
      <c r="C39" s="297"/>
      <c r="D39" s="298"/>
      <c r="E39" s="338"/>
      <c r="F39" s="339"/>
      <c r="G39" s="339"/>
      <c r="H39" s="339"/>
      <c r="I39" s="339"/>
      <c r="J39" s="76" t="str">
        <f>IF(AND('Mapa final'!$Y$13="Baja",'Mapa final'!$AA$13="Leve"),CONCATENATE("R4C",'Mapa final'!$O$13),"")</f>
        <v/>
      </c>
      <c r="K39" s="77" t="str">
        <f>IF(AND('Mapa final'!$Y$14="Baja",'Mapa final'!$AA$14="Leve"),CONCATENATE("R4C",'Mapa final'!$O$14),"")</f>
        <v/>
      </c>
      <c r="L39" s="77" t="str">
        <f>IF(AND('Mapa final'!$Y$15="Baja",'Mapa final'!$AA$15="Leve"),CONCATENATE("R4C",'Mapa final'!$O$15),"")</f>
        <v/>
      </c>
      <c r="M39" s="77" t="str">
        <f>IF(AND('Mapa final'!$Y$16="Baja",'Mapa final'!$AA$16="Leve"),CONCATENATE("R4C",'Mapa final'!$O$16),"")</f>
        <v/>
      </c>
      <c r="N39" s="77" t="str">
        <f>IF(AND('Mapa final'!$Y$17="Baja",'Mapa final'!$AA$17="Leve"),CONCATENATE("R4C",'Mapa final'!$O$17),"")</f>
        <v/>
      </c>
      <c r="O39" s="78" t="str">
        <f>IF(AND('Mapa final'!$Y$18="Baja",'Mapa final'!$AA$18="Leve"),CONCATENATE("R4C",'Mapa final'!$O$18),"")</f>
        <v/>
      </c>
      <c r="P39" s="67" t="str">
        <f>IF(AND('Mapa final'!$Y$13="Baja",'Mapa final'!$AA$13="Menor"),CONCATENATE("R4C",'Mapa final'!$O$13),"")</f>
        <v/>
      </c>
      <c r="Q39" s="68" t="str">
        <f>IF(AND('Mapa final'!$Y$14="Baja",'Mapa final'!$AA$14="Menor"),CONCATENATE("R4C",'Mapa final'!$O$14),"")</f>
        <v/>
      </c>
      <c r="R39" s="68" t="str">
        <f>IF(AND('Mapa final'!$Y$15="Baja",'Mapa final'!$AA$15="Menor"),CONCATENATE("R4C",'Mapa final'!$O$15),"")</f>
        <v/>
      </c>
      <c r="S39" s="68" t="str">
        <f>IF(AND('Mapa final'!$Y$16="Baja",'Mapa final'!$AA$16="Menor"),CONCATENATE("R4C",'Mapa final'!$O$16),"")</f>
        <v/>
      </c>
      <c r="T39" s="68" t="str">
        <f>IF(AND('Mapa final'!$Y$17="Baja",'Mapa final'!$AA$17="Menor"),CONCATENATE("R4C",'Mapa final'!$O$17),"")</f>
        <v/>
      </c>
      <c r="U39" s="69" t="str">
        <f>IF(AND('Mapa final'!$Y$18="Baja",'Mapa final'!$AA$18="Menor"),CONCATENATE("R4C",'Mapa final'!$O$18),"")</f>
        <v/>
      </c>
      <c r="V39" s="67" t="str">
        <f>IF(AND('Mapa final'!$Y$13="Baja",'Mapa final'!$AA$13="Moderado"),CONCATENATE("R4C",'Mapa final'!$O$13),"")</f>
        <v/>
      </c>
      <c r="W39" s="68" t="str">
        <f>IF(AND('Mapa final'!$Y$14="Baja",'Mapa final'!$AA$14="Moderado"),CONCATENATE("R4C",'Mapa final'!$O$14),"")</f>
        <v/>
      </c>
      <c r="X39" s="68" t="str">
        <f>IF(AND('Mapa final'!$Y$15="Baja",'Mapa final'!$AA$15="Moderado"),CONCATENATE("R4C",'Mapa final'!$O$15),"")</f>
        <v/>
      </c>
      <c r="Y39" s="68" t="str">
        <f>IF(AND('Mapa final'!$Y$16="Baja",'Mapa final'!$AA$16="Moderado"),CONCATENATE("R4C",'Mapa final'!$O$16),"")</f>
        <v/>
      </c>
      <c r="Z39" s="68" t="str">
        <f>IF(AND('Mapa final'!$Y$17="Baja",'Mapa final'!$AA$17="Moderado"),CONCATENATE("R4C",'Mapa final'!$O$17),"")</f>
        <v/>
      </c>
      <c r="AA39" s="69" t="str">
        <f>IF(AND('Mapa final'!$Y$18="Baja",'Mapa final'!$AA$18="Moderado"),CONCATENATE("R4C",'Mapa final'!$O$18),"")</f>
        <v/>
      </c>
      <c r="AB39" s="52" t="str">
        <f>IF(AND('Mapa final'!$Y$13="Baja",'Mapa final'!$AA$13="Mayor"),CONCATENATE("R4C",'Mapa final'!$O$13),"")</f>
        <v/>
      </c>
      <c r="AC39" s="53" t="str">
        <f>IF(AND('Mapa final'!$Y$14="Baja",'Mapa final'!$AA$14="Mayor"),CONCATENATE("R4C",'Mapa final'!$O$14),"")</f>
        <v/>
      </c>
      <c r="AD39" s="53" t="str">
        <f>IF(AND('Mapa final'!$Y$15="Baja",'Mapa final'!$AA$15="Mayor"),CONCATENATE("R4C",'Mapa final'!$O$15),"")</f>
        <v/>
      </c>
      <c r="AE39" s="53" t="str">
        <f>IF(AND('Mapa final'!$Y$16="Baja",'Mapa final'!$AA$16="Mayor"),CONCATENATE("R4C",'Mapa final'!$O$16),"")</f>
        <v/>
      </c>
      <c r="AF39" s="53" t="str">
        <f>IF(AND('Mapa final'!$Y$17="Baja",'Mapa final'!$AA$17="Mayor"),CONCATENATE("R4C",'Mapa final'!$O$17),"")</f>
        <v/>
      </c>
      <c r="AG39" s="54" t="str">
        <f>IF(AND('Mapa final'!$Y$18="Baja",'Mapa final'!$AA$18="Mayor"),CONCATENATE("R4C",'Mapa final'!$O$18),"")</f>
        <v/>
      </c>
      <c r="AH39" s="55" t="str">
        <f>IF(AND('Mapa final'!$Y$13="Baja",'Mapa final'!$AA$13="Catastrófico"),CONCATENATE("R4C",'Mapa final'!$O$13),"")</f>
        <v/>
      </c>
      <c r="AI39" s="56" t="str">
        <f>IF(AND('Mapa final'!$Y$14="Baja",'Mapa final'!$AA$14="Catastrófico"),CONCATENATE("R4C",'Mapa final'!$O$14),"")</f>
        <v/>
      </c>
      <c r="AJ39" s="56" t="str">
        <f>IF(AND('Mapa final'!$Y$15="Baja",'Mapa final'!$AA$15="Catastrófico"),CONCATENATE("R4C",'Mapa final'!$O$15),"")</f>
        <v/>
      </c>
      <c r="AK39" s="56" t="str">
        <f>IF(AND('Mapa final'!$Y$16="Baja",'Mapa final'!$AA$16="Catastrófico"),CONCATENATE("R4C",'Mapa final'!$O$16),"")</f>
        <v/>
      </c>
      <c r="AL39" s="56" t="str">
        <f>IF(AND('Mapa final'!$Y$17="Baja",'Mapa final'!$AA$17="Catastrófico"),CONCATENATE("R4C",'Mapa final'!$O$17),"")</f>
        <v/>
      </c>
      <c r="AM39" s="57" t="str">
        <f>IF(AND('Mapa final'!$Y$18="Baja",'Mapa final'!$AA$18="Catastrófico"),CONCATENATE("R4C",'Mapa final'!$O$18),"")</f>
        <v/>
      </c>
      <c r="AN39" s="83"/>
      <c r="AO39" s="369"/>
      <c r="AP39" s="370"/>
      <c r="AQ39" s="370"/>
      <c r="AR39" s="370"/>
      <c r="AS39" s="370"/>
      <c r="AT39" s="371"/>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97"/>
      <c r="C40" s="297"/>
      <c r="D40" s="298"/>
      <c r="E40" s="338"/>
      <c r="F40" s="339"/>
      <c r="G40" s="339"/>
      <c r="H40" s="339"/>
      <c r="I40" s="339"/>
      <c r="J40" s="76" t="str">
        <f>IF(AND('Mapa final'!$Y$19="Baja",'Mapa final'!$AA$19="Leve"),CONCATENATE("R5C",'Mapa final'!$O$19),"")</f>
        <v/>
      </c>
      <c r="K40" s="77" t="str">
        <f>IF(AND('Mapa final'!$Y$20="Baja",'Mapa final'!$AA$20="Leve"),CONCATENATE("R5C",'Mapa final'!$O$20),"")</f>
        <v/>
      </c>
      <c r="L40" s="77" t="str">
        <f>IF(AND('Mapa final'!$Y$21="Baja",'Mapa final'!$AA$21="Leve"),CONCATENATE("R5C",'Mapa final'!$O$21),"")</f>
        <v/>
      </c>
      <c r="M40" s="77" t="str">
        <f>IF(AND('Mapa final'!$Y$22="Baja",'Mapa final'!$AA$22="Leve"),CONCATENATE("R5C",'Mapa final'!$O$22),"")</f>
        <v/>
      </c>
      <c r="N40" s="77" t="str">
        <f>IF(AND('Mapa final'!$Y$23="Baja",'Mapa final'!$AA$23="Leve"),CONCATENATE("R5C",'Mapa final'!$O$23),"")</f>
        <v/>
      </c>
      <c r="O40" s="78" t="str">
        <f>IF(AND('Mapa final'!$Y$24="Baja",'Mapa final'!$AA$24="Leve"),CONCATENATE("R5C",'Mapa final'!$O$24),"")</f>
        <v/>
      </c>
      <c r="P40" s="67" t="str">
        <f>IF(AND('Mapa final'!$Y$19="Baja",'Mapa final'!$AA$19="Menor"),CONCATENATE("R5C",'Mapa final'!$O$19),"")</f>
        <v/>
      </c>
      <c r="Q40" s="68" t="str">
        <f>IF(AND('Mapa final'!$Y$20="Baja",'Mapa final'!$AA$20="Menor"),CONCATENATE("R5C",'Mapa final'!$O$20),"")</f>
        <v/>
      </c>
      <c r="R40" s="68" t="str">
        <f>IF(AND('Mapa final'!$Y$21="Baja",'Mapa final'!$AA$21="Menor"),CONCATENATE("R5C",'Mapa final'!$O$21),"")</f>
        <v/>
      </c>
      <c r="S40" s="68" t="str">
        <f>IF(AND('Mapa final'!$Y$22="Baja",'Mapa final'!$AA$22="Menor"),CONCATENATE("R5C",'Mapa final'!$O$22),"")</f>
        <v/>
      </c>
      <c r="T40" s="68" t="str">
        <f>IF(AND('Mapa final'!$Y$23="Baja",'Mapa final'!$AA$23="Menor"),CONCATENATE("R5C",'Mapa final'!$O$23),"")</f>
        <v/>
      </c>
      <c r="U40" s="69" t="str">
        <f>IF(AND('Mapa final'!$Y$24="Baja",'Mapa final'!$AA$24="Menor"),CONCATENATE("R5C",'Mapa final'!$O$24),"")</f>
        <v/>
      </c>
      <c r="V40" s="67" t="str">
        <f>IF(AND('Mapa final'!$Y$19="Baja",'Mapa final'!$AA$19="Moderado"),CONCATENATE("R5C",'Mapa final'!$O$19),"")</f>
        <v/>
      </c>
      <c r="W40" s="68" t="str">
        <f>IF(AND('Mapa final'!$Y$20="Baja",'Mapa final'!$AA$20="Moderado"),CONCATENATE("R5C",'Mapa final'!$O$20),"")</f>
        <v/>
      </c>
      <c r="X40" s="68" t="str">
        <f>IF(AND('Mapa final'!$Y$21="Baja",'Mapa final'!$AA$21="Moderado"),CONCATENATE("R5C",'Mapa final'!$O$21),"")</f>
        <v/>
      </c>
      <c r="Y40" s="68" t="str">
        <f>IF(AND('Mapa final'!$Y$22="Baja",'Mapa final'!$AA$22="Moderado"),CONCATENATE("R5C",'Mapa final'!$O$22),"")</f>
        <v/>
      </c>
      <c r="Z40" s="68" t="str">
        <f>IF(AND('Mapa final'!$Y$23="Baja",'Mapa final'!$AA$23="Moderado"),CONCATENATE("R5C",'Mapa final'!$O$23),"")</f>
        <v/>
      </c>
      <c r="AA40" s="69" t="str">
        <f>IF(AND('Mapa final'!$Y$24="Baja",'Mapa final'!$AA$24="Moderado"),CONCATENATE("R5C",'Mapa final'!$O$24),"")</f>
        <v/>
      </c>
      <c r="AB40" s="52" t="str">
        <f>IF(AND('Mapa final'!$Y$19="Baja",'Mapa final'!$AA$19="Mayor"),CONCATENATE("R5C",'Mapa final'!$O$19),"")</f>
        <v/>
      </c>
      <c r="AC40" s="53" t="str">
        <f>IF(AND('Mapa final'!$Y$20="Baja",'Mapa final'!$AA$20="Mayor"),CONCATENATE("R5C",'Mapa final'!$O$20),"")</f>
        <v/>
      </c>
      <c r="AD40" s="53" t="str">
        <f>IF(AND('Mapa final'!$Y$21="Baja",'Mapa final'!$AA$21="Mayor"),CONCATENATE("R5C",'Mapa final'!$O$21),"")</f>
        <v/>
      </c>
      <c r="AE40" s="53" t="str">
        <f>IF(AND('Mapa final'!$Y$22="Baja",'Mapa final'!$AA$22="Mayor"),CONCATENATE("R5C",'Mapa final'!$O$22),"")</f>
        <v/>
      </c>
      <c r="AF40" s="53" t="str">
        <f>IF(AND('Mapa final'!$Y$23="Baja",'Mapa final'!$AA$23="Mayor"),CONCATENATE("R5C",'Mapa final'!$O$23),"")</f>
        <v/>
      </c>
      <c r="AG40" s="54" t="str">
        <f>IF(AND('Mapa final'!$Y$24="Baja",'Mapa final'!$AA$24="Mayor"),CONCATENATE("R5C",'Mapa final'!$O$24),"")</f>
        <v/>
      </c>
      <c r="AH40" s="55" t="str">
        <f>IF(AND('Mapa final'!$Y$19="Baja",'Mapa final'!$AA$19="Catastrófico"),CONCATENATE("R5C",'Mapa final'!$O$19),"")</f>
        <v/>
      </c>
      <c r="AI40" s="56" t="str">
        <f>IF(AND('Mapa final'!$Y$20="Baja",'Mapa final'!$AA$20="Catastrófico"),CONCATENATE("R5C",'Mapa final'!$O$20),"")</f>
        <v/>
      </c>
      <c r="AJ40" s="56" t="str">
        <f>IF(AND('Mapa final'!$Y$21="Baja",'Mapa final'!$AA$21="Catastrófico"),CONCATENATE("R5C",'Mapa final'!$O$21),"")</f>
        <v/>
      </c>
      <c r="AK40" s="56" t="str">
        <f>IF(AND('Mapa final'!$Y$22="Baja",'Mapa final'!$AA$22="Catastrófico"),CONCATENATE("R5C",'Mapa final'!$O$22),"")</f>
        <v/>
      </c>
      <c r="AL40" s="56" t="str">
        <f>IF(AND('Mapa final'!$Y$23="Baja",'Mapa final'!$AA$23="Catastrófico"),CONCATENATE("R5C",'Mapa final'!$O$23),"")</f>
        <v/>
      </c>
      <c r="AM40" s="57" t="str">
        <f>IF(AND('Mapa final'!$Y$24="Baja",'Mapa final'!$AA$24="Catastrófico"),CONCATENATE("R5C",'Mapa final'!$O$24),"")</f>
        <v/>
      </c>
      <c r="AN40" s="83"/>
      <c r="AO40" s="369"/>
      <c r="AP40" s="370"/>
      <c r="AQ40" s="370"/>
      <c r="AR40" s="370"/>
      <c r="AS40" s="370"/>
      <c r="AT40" s="371"/>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97"/>
      <c r="C41" s="297"/>
      <c r="D41" s="298"/>
      <c r="E41" s="338"/>
      <c r="F41" s="339"/>
      <c r="G41" s="339"/>
      <c r="H41" s="339"/>
      <c r="I41" s="339"/>
      <c r="J41" s="76" t="str">
        <f>IF(AND('Mapa final'!$Y$25="Baja",'Mapa final'!$AA$25="Leve"),CONCATENATE("R6C",'Mapa final'!$O$25),"")</f>
        <v/>
      </c>
      <c r="K41" s="77" t="str">
        <f>IF(AND('Mapa final'!$Y$26="Baja",'Mapa final'!$AA$26="Leve"),CONCATENATE("R6C",'Mapa final'!$O$26),"")</f>
        <v/>
      </c>
      <c r="L41" s="77" t="str">
        <f>IF(AND('Mapa final'!$Y$27="Baja",'Mapa final'!$AA$27="Leve"),CONCATENATE("R6C",'Mapa final'!$O$27),"")</f>
        <v/>
      </c>
      <c r="M41" s="77" t="str">
        <f>IF(AND('Mapa final'!$Y$28="Baja",'Mapa final'!$AA$28="Leve"),CONCATENATE("R6C",'Mapa final'!$O$28),"")</f>
        <v/>
      </c>
      <c r="N41" s="77" t="str">
        <f>IF(AND('Mapa final'!$Y$29="Baja",'Mapa final'!$AA$29="Leve"),CONCATENATE("R6C",'Mapa final'!$O$29),"")</f>
        <v/>
      </c>
      <c r="O41" s="78" t="str">
        <f>IF(AND('Mapa final'!$Y$30="Baja",'Mapa final'!$AA$30="Leve"),CONCATENATE("R6C",'Mapa final'!$O$30),"")</f>
        <v/>
      </c>
      <c r="P41" s="67" t="str">
        <f>IF(AND('Mapa final'!$Y$25="Baja",'Mapa final'!$AA$25="Menor"),CONCATENATE("R6C",'Mapa final'!$O$25),"")</f>
        <v/>
      </c>
      <c r="Q41" s="68" t="str">
        <f>IF(AND('Mapa final'!$Y$26="Baja",'Mapa final'!$AA$26="Menor"),CONCATENATE("R6C",'Mapa final'!$O$26),"")</f>
        <v/>
      </c>
      <c r="R41" s="68" t="str">
        <f>IF(AND('Mapa final'!$Y$27="Baja",'Mapa final'!$AA$27="Menor"),CONCATENATE("R6C",'Mapa final'!$O$27),"")</f>
        <v/>
      </c>
      <c r="S41" s="68" t="str">
        <f>IF(AND('Mapa final'!$Y$28="Baja",'Mapa final'!$AA$28="Menor"),CONCATENATE("R6C",'Mapa final'!$O$28),"")</f>
        <v/>
      </c>
      <c r="T41" s="68" t="str">
        <f>IF(AND('Mapa final'!$Y$29="Baja",'Mapa final'!$AA$29="Menor"),CONCATENATE("R6C",'Mapa final'!$O$29),"")</f>
        <v/>
      </c>
      <c r="U41" s="69" t="str">
        <f>IF(AND('Mapa final'!$Y$30="Baja",'Mapa final'!$AA$30="Menor"),CONCATENATE("R6C",'Mapa final'!$O$30),"")</f>
        <v/>
      </c>
      <c r="V41" s="67" t="str">
        <f>IF(AND('Mapa final'!$Y$25="Baja",'Mapa final'!$AA$25="Moderado"),CONCATENATE("R6C",'Mapa final'!$O$25),"")</f>
        <v/>
      </c>
      <c r="W41" s="68" t="str">
        <f>IF(AND('Mapa final'!$Y$26="Baja",'Mapa final'!$AA$26="Moderado"),CONCATENATE("R6C",'Mapa final'!$O$26),"")</f>
        <v/>
      </c>
      <c r="X41" s="68" t="str">
        <f>IF(AND('Mapa final'!$Y$27="Baja",'Mapa final'!$AA$27="Moderado"),CONCATENATE("R6C",'Mapa final'!$O$27),"")</f>
        <v/>
      </c>
      <c r="Y41" s="68" t="str">
        <f>IF(AND('Mapa final'!$Y$28="Baja",'Mapa final'!$AA$28="Moderado"),CONCATENATE("R6C",'Mapa final'!$O$28),"")</f>
        <v/>
      </c>
      <c r="Z41" s="68" t="str">
        <f>IF(AND('Mapa final'!$Y$29="Baja",'Mapa final'!$AA$29="Moderado"),CONCATENATE("R6C",'Mapa final'!$O$29),"")</f>
        <v/>
      </c>
      <c r="AA41" s="69" t="str">
        <f>IF(AND('Mapa final'!$Y$30="Baja",'Mapa final'!$AA$30="Moderado"),CONCATENATE("R6C",'Mapa final'!$O$30),"")</f>
        <v/>
      </c>
      <c r="AB41" s="52" t="str">
        <f>IF(AND('Mapa final'!$Y$25="Baja",'Mapa final'!$AA$25="Mayor"),CONCATENATE("R6C",'Mapa final'!$O$25),"")</f>
        <v/>
      </c>
      <c r="AC41" s="53" t="str">
        <f>IF(AND('Mapa final'!$Y$26="Baja",'Mapa final'!$AA$26="Mayor"),CONCATENATE("R6C",'Mapa final'!$O$26),"")</f>
        <v/>
      </c>
      <c r="AD41" s="53" t="str">
        <f>IF(AND('Mapa final'!$Y$27="Baja",'Mapa final'!$AA$27="Mayor"),CONCATENATE("R6C",'Mapa final'!$O$27),"")</f>
        <v/>
      </c>
      <c r="AE41" s="53" t="str">
        <f>IF(AND('Mapa final'!$Y$28="Baja",'Mapa final'!$AA$28="Mayor"),CONCATENATE("R6C",'Mapa final'!$O$28),"")</f>
        <v/>
      </c>
      <c r="AF41" s="53" t="str">
        <f>IF(AND('Mapa final'!$Y$29="Baja",'Mapa final'!$AA$29="Mayor"),CONCATENATE("R6C",'Mapa final'!$O$29),"")</f>
        <v/>
      </c>
      <c r="AG41" s="54" t="str">
        <f>IF(AND('Mapa final'!$Y$30="Baja",'Mapa final'!$AA$30="Mayor"),CONCATENATE("R6C",'Mapa final'!$O$30),"")</f>
        <v/>
      </c>
      <c r="AH41" s="55" t="str">
        <f>IF(AND('Mapa final'!$Y$25="Baja",'Mapa final'!$AA$25="Catastrófico"),CONCATENATE("R6C",'Mapa final'!$O$25),"")</f>
        <v/>
      </c>
      <c r="AI41" s="56" t="str">
        <f>IF(AND('Mapa final'!$Y$26="Baja",'Mapa final'!$AA$26="Catastrófico"),CONCATENATE("R6C",'Mapa final'!$O$26),"")</f>
        <v/>
      </c>
      <c r="AJ41" s="56" t="str">
        <f>IF(AND('Mapa final'!$Y$27="Baja",'Mapa final'!$AA$27="Catastrófico"),CONCATENATE("R6C",'Mapa final'!$O$27),"")</f>
        <v/>
      </c>
      <c r="AK41" s="56" t="str">
        <f>IF(AND('Mapa final'!$Y$28="Baja",'Mapa final'!$AA$28="Catastrófico"),CONCATENATE("R6C",'Mapa final'!$O$28),"")</f>
        <v/>
      </c>
      <c r="AL41" s="56" t="str">
        <f>IF(AND('Mapa final'!$Y$29="Baja",'Mapa final'!$AA$29="Catastrófico"),CONCATENATE("R6C",'Mapa final'!$O$29),"")</f>
        <v/>
      </c>
      <c r="AM41" s="57" t="str">
        <f>IF(AND('Mapa final'!$Y$30="Baja",'Mapa final'!$AA$30="Catastrófico"),CONCATENATE("R6C",'Mapa final'!$O$30),"")</f>
        <v/>
      </c>
      <c r="AN41" s="83"/>
      <c r="AO41" s="369"/>
      <c r="AP41" s="370"/>
      <c r="AQ41" s="370"/>
      <c r="AR41" s="370"/>
      <c r="AS41" s="370"/>
      <c r="AT41" s="371"/>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97"/>
      <c r="C42" s="297"/>
      <c r="D42" s="298"/>
      <c r="E42" s="338"/>
      <c r="F42" s="339"/>
      <c r="G42" s="339"/>
      <c r="H42" s="339"/>
      <c r="I42" s="339"/>
      <c r="J42" s="76" t="str">
        <f>IF(AND('Mapa final'!$Y$31="Baja",'Mapa final'!$AA$31="Leve"),CONCATENATE("R7C",'Mapa final'!$O$31),"")</f>
        <v/>
      </c>
      <c r="K42" s="77" t="str">
        <f>IF(AND('Mapa final'!$Y$32="Baja",'Mapa final'!$AA$32="Leve"),CONCATENATE("R7C",'Mapa final'!$O$32),"")</f>
        <v/>
      </c>
      <c r="L42" s="77" t="str">
        <f>IF(AND('Mapa final'!$Y$33="Baja",'Mapa final'!$AA$33="Leve"),CONCATENATE("R7C",'Mapa final'!$O$33),"")</f>
        <v/>
      </c>
      <c r="M42" s="77" t="str">
        <f>IF(AND('Mapa final'!$Y$34="Baja",'Mapa final'!$AA$34="Leve"),CONCATENATE("R7C",'Mapa final'!$O$34),"")</f>
        <v/>
      </c>
      <c r="N42" s="77" t="str">
        <f>IF(AND('Mapa final'!$Y$35="Baja",'Mapa final'!$AA$35="Leve"),CONCATENATE("R7C",'Mapa final'!$O$35),"")</f>
        <v/>
      </c>
      <c r="O42" s="78" t="str">
        <f>IF(AND('Mapa final'!$Y$36="Baja",'Mapa final'!$AA$36="Leve"),CONCATENATE("R7C",'Mapa final'!$O$36),"")</f>
        <v/>
      </c>
      <c r="P42" s="67" t="str">
        <f>IF(AND('Mapa final'!$Y$31="Baja",'Mapa final'!$AA$31="Menor"),CONCATENATE("R7C",'Mapa final'!$O$31),"")</f>
        <v/>
      </c>
      <c r="Q42" s="68" t="str">
        <f>IF(AND('Mapa final'!$Y$32="Baja",'Mapa final'!$AA$32="Menor"),CONCATENATE("R7C",'Mapa final'!$O$32),"")</f>
        <v/>
      </c>
      <c r="R42" s="68" t="str">
        <f>IF(AND('Mapa final'!$Y$33="Baja",'Mapa final'!$AA$33="Menor"),CONCATENATE("R7C",'Mapa final'!$O$33),"")</f>
        <v/>
      </c>
      <c r="S42" s="68" t="str">
        <f>IF(AND('Mapa final'!$Y$34="Baja",'Mapa final'!$AA$34="Menor"),CONCATENATE("R7C",'Mapa final'!$O$34),"")</f>
        <v/>
      </c>
      <c r="T42" s="68" t="str">
        <f>IF(AND('Mapa final'!$Y$35="Baja",'Mapa final'!$AA$35="Menor"),CONCATENATE("R7C",'Mapa final'!$O$35),"")</f>
        <v/>
      </c>
      <c r="U42" s="69" t="str">
        <f>IF(AND('Mapa final'!$Y$36="Baja",'Mapa final'!$AA$36="Menor"),CONCATENATE("R7C",'Mapa final'!$O$36),"")</f>
        <v/>
      </c>
      <c r="V42" s="67" t="str">
        <f>IF(AND('Mapa final'!$Y$31="Baja",'Mapa final'!$AA$31="Moderado"),CONCATENATE("R7C",'Mapa final'!$O$31),"")</f>
        <v/>
      </c>
      <c r="W42" s="68" t="str">
        <f>IF(AND('Mapa final'!$Y$32="Baja",'Mapa final'!$AA$32="Moderado"),CONCATENATE("R7C",'Mapa final'!$O$32),"")</f>
        <v/>
      </c>
      <c r="X42" s="68" t="str">
        <f>IF(AND('Mapa final'!$Y$33="Baja",'Mapa final'!$AA$33="Moderado"),CONCATENATE("R7C",'Mapa final'!$O$33),"")</f>
        <v/>
      </c>
      <c r="Y42" s="68" t="str">
        <f>IF(AND('Mapa final'!$Y$34="Baja",'Mapa final'!$AA$34="Moderado"),CONCATENATE("R7C",'Mapa final'!$O$34),"")</f>
        <v/>
      </c>
      <c r="Z42" s="68" t="str">
        <f>IF(AND('Mapa final'!$Y$35="Baja",'Mapa final'!$AA$35="Moderado"),CONCATENATE("R7C",'Mapa final'!$O$35),"")</f>
        <v/>
      </c>
      <c r="AA42" s="69" t="str">
        <f>IF(AND('Mapa final'!$Y$36="Baja",'Mapa final'!$AA$36="Moderado"),CONCATENATE("R7C",'Mapa final'!$O$36),"")</f>
        <v/>
      </c>
      <c r="AB42" s="52" t="str">
        <f>IF(AND('Mapa final'!$Y$31="Baja",'Mapa final'!$AA$31="Mayor"),CONCATENATE("R7C",'Mapa final'!$O$31),"")</f>
        <v/>
      </c>
      <c r="AC42" s="53" t="str">
        <f>IF(AND('Mapa final'!$Y$32="Baja",'Mapa final'!$AA$32="Mayor"),CONCATENATE("R7C",'Mapa final'!$O$32),"")</f>
        <v/>
      </c>
      <c r="AD42" s="53" t="str">
        <f>IF(AND('Mapa final'!$Y$33="Baja",'Mapa final'!$AA$33="Mayor"),CONCATENATE("R7C",'Mapa final'!$O$33),"")</f>
        <v/>
      </c>
      <c r="AE42" s="53" t="str">
        <f>IF(AND('Mapa final'!$Y$34="Baja",'Mapa final'!$AA$34="Mayor"),CONCATENATE("R7C",'Mapa final'!$O$34),"")</f>
        <v/>
      </c>
      <c r="AF42" s="53" t="str">
        <f>IF(AND('Mapa final'!$Y$35="Baja",'Mapa final'!$AA$35="Mayor"),CONCATENATE("R7C",'Mapa final'!$O$35),"")</f>
        <v/>
      </c>
      <c r="AG42" s="54" t="str">
        <f>IF(AND('Mapa final'!$Y$36="Baja",'Mapa final'!$AA$36="Mayor"),CONCATENATE("R7C",'Mapa final'!$O$36),"")</f>
        <v/>
      </c>
      <c r="AH42" s="55" t="str">
        <f>IF(AND('Mapa final'!$Y$31="Baja",'Mapa final'!$AA$31="Catastrófico"),CONCATENATE("R7C",'Mapa final'!$O$31),"")</f>
        <v/>
      </c>
      <c r="AI42" s="56" t="str">
        <f>IF(AND('Mapa final'!$Y$32="Baja",'Mapa final'!$AA$32="Catastrófico"),CONCATENATE("R7C",'Mapa final'!$O$32),"")</f>
        <v/>
      </c>
      <c r="AJ42" s="56" t="str">
        <f>IF(AND('Mapa final'!$Y$33="Baja",'Mapa final'!$AA$33="Catastrófico"),CONCATENATE("R7C",'Mapa final'!$O$33),"")</f>
        <v/>
      </c>
      <c r="AK42" s="56" t="str">
        <f>IF(AND('Mapa final'!$Y$34="Baja",'Mapa final'!$AA$34="Catastrófico"),CONCATENATE("R7C",'Mapa final'!$O$34),"")</f>
        <v/>
      </c>
      <c r="AL42" s="56" t="str">
        <f>IF(AND('Mapa final'!$Y$35="Baja",'Mapa final'!$AA$35="Catastrófico"),CONCATENATE("R7C",'Mapa final'!$O$35),"")</f>
        <v/>
      </c>
      <c r="AM42" s="57" t="str">
        <f>IF(AND('Mapa final'!$Y$36="Baja",'Mapa final'!$AA$36="Catastrófico"),CONCATENATE("R7C",'Mapa final'!$O$36),"")</f>
        <v/>
      </c>
      <c r="AN42" s="83"/>
      <c r="AO42" s="369"/>
      <c r="AP42" s="370"/>
      <c r="AQ42" s="370"/>
      <c r="AR42" s="370"/>
      <c r="AS42" s="370"/>
      <c r="AT42" s="371"/>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97"/>
      <c r="C43" s="297"/>
      <c r="D43" s="298"/>
      <c r="E43" s="338"/>
      <c r="F43" s="339"/>
      <c r="G43" s="339"/>
      <c r="H43" s="339"/>
      <c r="I43" s="339"/>
      <c r="J43" s="76" t="str">
        <f>IF(AND('Mapa final'!$Y$37="Baja",'Mapa final'!$AA$37="Leve"),CONCATENATE("R8C",'Mapa final'!$O$37),"")</f>
        <v/>
      </c>
      <c r="K43" s="77" t="str">
        <f>IF(AND('Mapa final'!$Y$38="Baja",'Mapa final'!$AA$38="Leve"),CONCATENATE("R8C",'Mapa final'!$O$38),"")</f>
        <v/>
      </c>
      <c r="L43" s="77" t="str">
        <f>IF(AND('Mapa final'!$Y$39="Baja",'Mapa final'!$AA$39="Leve"),CONCATENATE("R8C",'Mapa final'!$O$39),"")</f>
        <v/>
      </c>
      <c r="M43" s="77" t="str">
        <f>IF(AND('Mapa final'!$Y$40="Baja",'Mapa final'!$AA$40="Leve"),CONCATENATE("R8C",'Mapa final'!$O$40),"")</f>
        <v/>
      </c>
      <c r="N43" s="77" t="str">
        <f>IF(AND('Mapa final'!$Y$41="Baja",'Mapa final'!$AA$41="Leve"),CONCATENATE("R8C",'Mapa final'!$O$41),"")</f>
        <v/>
      </c>
      <c r="O43" s="78" t="str">
        <f>IF(AND('Mapa final'!$Y$42="Baja",'Mapa final'!$AA$42="Leve"),CONCATENATE("R8C",'Mapa final'!$O$42),"")</f>
        <v/>
      </c>
      <c r="P43" s="67" t="str">
        <f>IF(AND('Mapa final'!$Y$37="Baja",'Mapa final'!$AA$37="Menor"),CONCATENATE("R8C",'Mapa final'!$O$37),"")</f>
        <v/>
      </c>
      <c r="Q43" s="68" t="str">
        <f>IF(AND('Mapa final'!$Y$38="Baja",'Mapa final'!$AA$38="Menor"),CONCATENATE("R8C",'Mapa final'!$O$38),"")</f>
        <v/>
      </c>
      <c r="R43" s="68" t="str">
        <f>IF(AND('Mapa final'!$Y$39="Baja",'Mapa final'!$AA$39="Menor"),CONCATENATE("R8C",'Mapa final'!$O$39),"")</f>
        <v/>
      </c>
      <c r="S43" s="68" t="str">
        <f>IF(AND('Mapa final'!$Y$40="Baja",'Mapa final'!$AA$40="Menor"),CONCATENATE("R8C",'Mapa final'!$O$40),"")</f>
        <v/>
      </c>
      <c r="T43" s="68" t="str">
        <f>IF(AND('Mapa final'!$Y$41="Baja",'Mapa final'!$AA$41="Menor"),CONCATENATE("R8C",'Mapa final'!$O$41),"")</f>
        <v/>
      </c>
      <c r="U43" s="69" t="str">
        <f>IF(AND('Mapa final'!$Y$42="Baja",'Mapa final'!$AA$42="Menor"),CONCATENATE("R8C",'Mapa final'!$O$42),"")</f>
        <v/>
      </c>
      <c r="V43" s="67" t="str">
        <f>IF(AND('Mapa final'!$Y$37="Baja",'Mapa final'!$AA$37="Moderado"),CONCATENATE("R8C",'Mapa final'!$O$37),"")</f>
        <v/>
      </c>
      <c r="W43" s="68" t="str">
        <f>IF(AND('Mapa final'!$Y$38="Baja",'Mapa final'!$AA$38="Moderado"),CONCATENATE("R8C",'Mapa final'!$O$38),"")</f>
        <v/>
      </c>
      <c r="X43" s="68" t="str">
        <f>IF(AND('Mapa final'!$Y$39="Baja",'Mapa final'!$AA$39="Moderado"),CONCATENATE("R8C",'Mapa final'!$O$39),"")</f>
        <v/>
      </c>
      <c r="Y43" s="68" t="str">
        <f>IF(AND('Mapa final'!$Y$40="Baja",'Mapa final'!$AA$40="Moderado"),CONCATENATE("R8C",'Mapa final'!$O$40),"")</f>
        <v/>
      </c>
      <c r="Z43" s="68" t="str">
        <f>IF(AND('Mapa final'!$Y$41="Baja",'Mapa final'!$AA$41="Moderado"),CONCATENATE("R8C",'Mapa final'!$O$41),"")</f>
        <v/>
      </c>
      <c r="AA43" s="69" t="str">
        <f>IF(AND('Mapa final'!$Y$42="Baja",'Mapa final'!$AA$42="Moderado"),CONCATENATE("R8C",'Mapa final'!$O$42),"")</f>
        <v/>
      </c>
      <c r="AB43" s="52" t="str">
        <f>IF(AND('Mapa final'!$Y$37="Baja",'Mapa final'!$AA$37="Mayor"),CONCATENATE("R8C",'Mapa final'!$O$37),"")</f>
        <v/>
      </c>
      <c r="AC43" s="53" t="str">
        <f>IF(AND('Mapa final'!$Y$38="Baja",'Mapa final'!$AA$38="Mayor"),CONCATENATE("R8C",'Mapa final'!$O$38),"")</f>
        <v/>
      </c>
      <c r="AD43" s="53" t="str">
        <f>IF(AND('Mapa final'!$Y$39="Baja",'Mapa final'!$AA$39="Mayor"),CONCATENATE("R8C",'Mapa final'!$O$39),"")</f>
        <v/>
      </c>
      <c r="AE43" s="53" t="str">
        <f>IF(AND('Mapa final'!$Y$40="Baja",'Mapa final'!$AA$40="Mayor"),CONCATENATE("R8C",'Mapa final'!$O$40),"")</f>
        <v/>
      </c>
      <c r="AF43" s="53" t="str">
        <f>IF(AND('Mapa final'!$Y$41="Baja",'Mapa final'!$AA$41="Mayor"),CONCATENATE("R8C",'Mapa final'!$O$41),"")</f>
        <v/>
      </c>
      <c r="AG43" s="54" t="str">
        <f>IF(AND('Mapa final'!$Y$42="Baja",'Mapa final'!$AA$42="Mayor"),CONCATENATE("R8C",'Mapa final'!$O$42),"")</f>
        <v/>
      </c>
      <c r="AH43" s="55" t="str">
        <f>IF(AND('Mapa final'!$Y$37="Baja",'Mapa final'!$AA$37="Catastrófico"),CONCATENATE("R8C",'Mapa final'!$O$37),"")</f>
        <v/>
      </c>
      <c r="AI43" s="56" t="str">
        <f>IF(AND('Mapa final'!$Y$38="Baja",'Mapa final'!$AA$38="Catastrófico"),CONCATENATE("R8C",'Mapa final'!$O$38),"")</f>
        <v/>
      </c>
      <c r="AJ43" s="56" t="str">
        <f>IF(AND('Mapa final'!$Y$39="Baja",'Mapa final'!$AA$39="Catastrófico"),CONCATENATE("R8C",'Mapa final'!$O$39),"")</f>
        <v/>
      </c>
      <c r="AK43" s="56" t="str">
        <f>IF(AND('Mapa final'!$Y$40="Baja",'Mapa final'!$AA$40="Catastrófico"),CONCATENATE("R8C",'Mapa final'!$O$40),"")</f>
        <v/>
      </c>
      <c r="AL43" s="56" t="str">
        <f>IF(AND('Mapa final'!$Y$41="Baja",'Mapa final'!$AA$41="Catastrófico"),CONCATENATE("R8C",'Mapa final'!$O$41),"")</f>
        <v/>
      </c>
      <c r="AM43" s="57" t="str">
        <f>IF(AND('Mapa final'!$Y$42="Baja",'Mapa final'!$AA$42="Catastrófico"),CONCATENATE("R8C",'Mapa final'!$O$42),"")</f>
        <v/>
      </c>
      <c r="AN43" s="83"/>
      <c r="AO43" s="369"/>
      <c r="AP43" s="370"/>
      <c r="AQ43" s="370"/>
      <c r="AR43" s="370"/>
      <c r="AS43" s="370"/>
      <c r="AT43" s="371"/>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97"/>
      <c r="C44" s="297"/>
      <c r="D44" s="298"/>
      <c r="E44" s="338"/>
      <c r="F44" s="339"/>
      <c r="G44" s="339"/>
      <c r="H44" s="339"/>
      <c r="I44" s="339"/>
      <c r="J44" s="76" t="str">
        <f>IF(AND('Mapa final'!$Y$43="Baja",'Mapa final'!$AA$43="Leve"),CONCATENATE("R9C",'Mapa final'!$O$43),"")</f>
        <v/>
      </c>
      <c r="K44" s="77" t="str">
        <f>IF(AND('Mapa final'!$Y$44="Baja",'Mapa final'!$AA$44="Leve"),CONCATENATE("R9C",'Mapa final'!$O$44),"")</f>
        <v/>
      </c>
      <c r="L44" s="77" t="str">
        <f>IF(AND('Mapa final'!$Y$45="Baja",'Mapa final'!$AA$45="Leve"),CONCATENATE("R9C",'Mapa final'!$O$45),"")</f>
        <v/>
      </c>
      <c r="M44" s="77" t="str">
        <f>IF(AND('Mapa final'!$Y$46="Baja",'Mapa final'!$AA$46="Leve"),CONCATENATE("R9C",'Mapa final'!$O$46),"")</f>
        <v/>
      </c>
      <c r="N44" s="77" t="str">
        <f>IF(AND('Mapa final'!$Y$47="Baja",'Mapa final'!$AA$47="Leve"),CONCATENATE("R9C",'Mapa final'!$O$47),"")</f>
        <v/>
      </c>
      <c r="O44" s="78" t="str">
        <f>IF(AND('Mapa final'!$Y$48="Baja",'Mapa final'!$AA$48="Leve"),CONCATENATE("R9C",'Mapa final'!$O$48),"")</f>
        <v/>
      </c>
      <c r="P44" s="67" t="str">
        <f>IF(AND('Mapa final'!$Y$43="Baja",'Mapa final'!$AA$43="Menor"),CONCATENATE("R9C",'Mapa final'!$O$43),"")</f>
        <v/>
      </c>
      <c r="Q44" s="68" t="str">
        <f>IF(AND('Mapa final'!$Y$44="Baja",'Mapa final'!$AA$44="Menor"),CONCATENATE("R9C",'Mapa final'!$O$44),"")</f>
        <v/>
      </c>
      <c r="R44" s="68" t="str">
        <f>IF(AND('Mapa final'!$Y$45="Baja",'Mapa final'!$AA$45="Menor"),CONCATENATE("R9C",'Mapa final'!$O$45),"")</f>
        <v/>
      </c>
      <c r="S44" s="68" t="str">
        <f>IF(AND('Mapa final'!$Y$46="Baja",'Mapa final'!$AA$46="Menor"),CONCATENATE("R9C",'Mapa final'!$O$46),"")</f>
        <v/>
      </c>
      <c r="T44" s="68" t="str">
        <f>IF(AND('Mapa final'!$Y$47="Baja",'Mapa final'!$AA$47="Menor"),CONCATENATE("R9C",'Mapa final'!$O$47),"")</f>
        <v/>
      </c>
      <c r="U44" s="69" t="str">
        <f>IF(AND('Mapa final'!$Y$48="Baja",'Mapa final'!$AA$48="Menor"),CONCATENATE("R9C",'Mapa final'!$O$48),"")</f>
        <v/>
      </c>
      <c r="V44" s="67" t="str">
        <f>IF(AND('Mapa final'!$Y$43="Baja",'Mapa final'!$AA$43="Moderado"),CONCATENATE("R9C",'Mapa final'!$O$43),"")</f>
        <v/>
      </c>
      <c r="W44" s="68" t="str">
        <f>IF(AND('Mapa final'!$Y$44="Baja",'Mapa final'!$AA$44="Moderado"),CONCATENATE("R9C",'Mapa final'!$O$44),"")</f>
        <v/>
      </c>
      <c r="X44" s="68" t="str">
        <f>IF(AND('Mapa final'!$Y$45="Baja",'Mapa final'!$AA$45="Moderado"),CONCATENATE("R9C",'Mapa final'!$O$45),"")</f>
        <v/>
      </c>
      <c r="Y44" s="68" t="str">
        <f>IF(AND('Mapa final'!$Y$46="Baja",'Mapa final'!$AA$46="Moderado"),CONCATENATE("R9C",'Mapa final'!$O$46),"")</f>
        <v/>
      </c>
      <c r="Z44" s="68" t="str">
        <f>IF(AND('Mapa final'!$Y$47="Baja",'Mapa final'!$AA$47="Moderado"),CONCATENATE("R9C",'Mapa final'!$O$47),"")</f>
        <v/>
      </c>
      <c r="AA44" s="69" t="str">
        <f>IF(AND('Mapa final'!$Y$48="Baja",'Mapa final'!$AA$48="Moderado"),CONCATENATE("R9C",'Mapa final'!$O$48),"")</f>
        <v/>
      </c>
      <c r="AB44" s="52" t="str">
        <f>IF(AND('Mapa final'!$Y$43="Baja",'Mapa final'!$AA$43="Mayor"),CONCATENATE("R9C",'Mapa final'!$O$43),"")</f>
        <v/>
      </c>
      <c r="AC44" s="53" t="str">
        <f>IF(AND('Mapa final'!$Y$44="Baja",'Mapa final'!$AA$44="Mayor"),CONCATENATE("R9C",'Mapa final'!$O$44),"")</f>
        <v/>
      </c>
      <c r="AD44" s="53" t="str">
        <f>IF(AND('Mapa final'!$Y$45="Baja",'Mapa final'!$AA$45="Mayor"),CONCATENATE("R9C",'Mapa final'!$O$45),"")</f>
        <v/>
      </c>
      <c r="AE44" s="53" t="str">
        <f>IF(AND('Mapa final'!$Y$46="Baja",'Mapa final'!$AA$46="Mayor"),CONCATENATE("R9C",'Mapa final'!$O$46),"")</f>
        <v/>
      </c>
      <c r="AF44" s="53" t="str">
        <f>IF(AND('Mapa final'!$Y$47="Baja",'Mapa final'!$AA$47="Mayor"),CONCATENATE("R9C",'Mapa final'!$O$47),"")</f>
        <v/>
      </c>
      <c r="AG44" s="54" t="str">
        <f>IF(AND('Mapa final'!$Y$48="Baja",'Mapa final'!$AA$48="Mayor"),CONCATENATE("R9C",'Mapa final'!$O$48),"")</f>
        <v/>
      </c>
      <c r="AH44" s="55" t="str">
        <f>IF(AND('Mapa final'!$Y$43="Baja",'Mapa final'!$AA$43="Catastrófico"),CONCATENATE("R9C",'Mapa final'!$O$43),"")</f>
        <v/>
      </c>
      <c r="AI44" s="56" t="str">
        <f>IF(AND('Mapa final'!$Y$44="Baja",'Mapa final'!$AA$44="Catastrófico"),CONCATENATE("R9C",'Mapa final'!$O$44),"")</f>
        <v/>
      </c>
      <c r="AJ44" s="56" t="str">
        <f>IF(AND('Mapa final'!$Y$45="Baja",'Mapa final'!$AA$45="Catastrófico"),CONCATENATE("R9C",'Mapa final'!$O$45),"")</f>
        <v/>
      </c>
      <c r="AK44" s="56" t="str">
        <f>IF(AND('Mapa final'!$Y$46="Baja",'Mapa final'!$AA$46="Catastrófico"),CONCATENATE("R9C",'Mapa final'!$O$46),"")</f>
        <v/>
      </c>
      <c r="AL44" s="56" t="str">
        <f>IF(AND('Mapa final'!$Y$47="Baja",'Mapa final'!$AA$47="Catastrófico"),CONCATENATE("R9C",'Mapa final'!$O$47),"")</f>
        <v/>
      </c>
      <c r="AM44" s="57" t="str">
        <f>IF(AND('Mapa final'!$Y$48="Baja",'Mapa final'!$AA$48="Catastrófico"),CONCATENATE("R9C",'Mapa final'!$O$48),"")</f>
        <v/>
      </c>
      <c r="AN44" s="83"/>
      <c r="AO44" s="369"/>
      <c r="AP44" s="370"/>
      <c r="AQ44" s="370"/>
      <c r="AR44" s="370"/>
      <c r="AS44" s="370"/>
      <c r="AT44" s="371"/>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97"/>
      <c r="C45" s="297"/>
      <c r="D45" s="298"/>
      <c r="E45" s="341"/>
      <c r="F45" s="342"/>
      <c r="G45" s="342"/>
      <c r="H45" s="342"/>
      <c r="I45" s="342"/>
      <c r="J45" s="79" t="str">
        <f>IF(AND('Mapa final'!$Y$49="Baja",'Mapa final'!$AA$49="Leve"),CONCATENATE("R10C",'Mapa final'!$O$49),"")</f>
        <v/>
      </c>
      <c r="K45" s="80" t="str">
        <f>IF(AND('Mapa final'!$Y$50="Baja",'Mapa final'!$AA$50="Leve"),CONCATENATE("R10C",'Mapa final'!$O$50),"")</f>
        <v/>
      </c>
      <c r="L45" s="80" t="str">
        <f>IF(AND('Mapa final'!$Y$51="Baja",'Mapa final'!$AA$51="Leve"),CONCATENATE("R10C",'Mapa final'!$O$51),"")</f>
        <v/>
      </c>
      <c r="M45" s="80" t="str">
        <f>IF(AND('Mapa final'!$Y$52="Baja",'Mapa final'!$AA$52="Leve"),CONCATENATE("R10C",'Mapa final'!$O$52),"")</f>
        <v/>
      </c>
      <c r="N45" s="80" t="str">
        <f>IF(AND('Mapa final'!$Y$53="Baja",'Mapa final'!$AA$53="Leve"),CONCATENATE("R10C",'Mapa final'!$O$53),"")</f>
        <v/>
      </c>
      <c r="O45" s="81" t="str">
        <f>IF(AND('Mapa final'!$Y$54="Baja",'Mapa final'!$AA$54="Leve"),CONCATENATE("R10C",'Mapa final'!$O$54),"")</f>
        <v/>
      </c>
      <c r="P45" s="67" t="str">
        <f>IF(AND('Mapa final'!$Y$49="Baja",'Mapa final'!$AA$49="Menor"),CONCATENATE("R10C",'Mapa final'!$O$49),"")</f>
        <v/>
      </c>
      <c r="Q45" s="68" t="str">
        <f>IF(AND('Mapa final'!$Y$50="Baja",'Mapa final'!$AA$50="Menor"),CONCATENATE("R10C",'Mapa final'!$O$50),"")</f>
        <v/>
      </c>
      <c r="R45" s="68" t="str">
        <f>IF(AND('Mapa final'!$Y$51="Baja",'Mapa final'!$AA$51="Menor"),CONCATENATE("R10C",'Mapa final'!$O$51),"")</f>
        <v/>
      </c>
      <c r="S45" s="68" t="str">
        <f>IF(AND('Mapa final'!$Y$52="Baja",'Mapa final'!$AA$52="Menor"),CONCATENATE("R10C",'Mapa final'!$O$52),"")</f>
        <v/>
      </c>
      <c r="T45" s="68" t="str">
        <f>IF(AND('Mapa final'!$Y$53="Baja",'Mapa final'!$AA$53="Menor"),CONCATENATE("R10C",'Mapa final'!$O$53),"")</f>
        <v/>
      </c>
      <c r="U45" s="69" t="str">
        <f>IF(AND('Mapa final'!$Y$54="Baja",'Mapa final'!$AA$54="Menor"),CONCATENATE("R10C",'Mapa final'!$O$54),"")</f>
        <v/>
      </c>
      <c r="V45" s="70" t="str">
        <f>IF(AND('Mapa final'!$Y$49="Baja",'Mapa final'!$AA$49="Moderado"),CONCATENATE("R10C",'Mapa final'!$O$49),"")</f>
        <v/>
      </c>
      <c r="W45" s="71" t="str">
        <f>IF(AND('Mapa final'!$Y$50="Baja",'Mapa final'!$AA$50="Moderado"),CONCATENATE("R10C",'Mapa final'!$O$50),"")</f>
        <v/>
      </c>
      <c r="X45" s="71" t="str">
        <f>IF(AND('Mapa final'!$Y$51="Baja",'Mapa final'!$AA$51="Moderado"),CONCATENATE("R10C",'Mapa final'!$O$51),"")</f>
        <v/>
      </c>
      <c r="Y45" s="71" t="str">
        <f>IF(AND('Mapa final'!$Y$52="Baja",'Mapa final'!$AA$52="Moderado"),CONCATENATE("R10C",'Mapa final'!$O$52),"")</f>
        <v/>
      </c>
      <c r="Z45" s="71" t="str">
        <f>IF(AND('Mapa final'!$Y$53="Baja",'Mapa final'!$AA$53="Moderado"),CONCATENATE("R10C",'Mapa final'!$O$53),"")</f>
        <v/>
      </c>
      <c r="AA45" s="72" t="str">
        <f>IF(AND('Mapa final'!$Y$54="Baja",'Mapa final'!$AA$54="Moderado"),CONCATENATE("R10C",'Mapa final'!$O$54),"")</f>
        <v/>
      </c>
      <c r="AB45" s="58" t="str">
        <f>IF(AND('Mapa final'!$Y$49="Baja",'Mapa final'!$AA$49="Mayor"),CONCATENATE("R10C",'Mapa final'!$O$49),"")</f>
        <v/>
      </c>
      <c r="AC45" s="59" t="str">
        <f>IF(AND('Mapa final'!$Y$50="Baja",'Mapa final'!$AA$50="Mayor"),CONCATENATE("R10C",'Mapa final'!$O$50),"")</f>
        <v/>
      </c>
      <c r="AD45" s="59" t="str">
        <f>IF(AND('Mapa final'!$Y$51="Baja",'Mapa final'!$AA$51="Mayor"),CONCATENATE("R10C",'Mapa final'!$O$51),"")</f>
        <v/>
      </c>
      <c r="AE45" s="59" t="str">
        <f>IF(AND('Mapa final'!$Y$52="Baja",'Mapa final'!$AA$52="Mayor"),CONCATENATE("R10C",'Mapa final'!$O$52),"")</f>
        <v/>
      </c>
      <c r="AF45" s="59" t="str">
        <f>IF(AND('Mapa final'!$Y$53="Baja",'Mapa final'!$AA$53="Mayor"),CONCATENATE("R10C",'Mapa final'!$O$53),"")</f>
        <v/>
      </c>
      <c r="AG45" s="60" t="str">
        <f>IF(AND('Mapa final'!$Y$54="Baja",'Mapa final'!$AA$54="Mayor"),CONCATENATE("R10C",'Mapa final'!$O$54),"")</f>
        <v/>
      </c>
      <c r="AH45" s="61" t="str">
        <f>IF(AND('Mapa final'!$Y$49="Baja",'Mapa final'!$AA$49="Catastrófico"),CONCATENATE("R10C",'Mapa final'!$O$49),"")</f>
        <v/>
      </c>
      <c r="AI45" s="62" t="str">
        <f>IF(AND('Mapa final'!$Y$50="Baja",'Mapa final'!$AA$50="Catastrófico"),CONCATENATE("R10C",'Mapa final'!$O$50),"")</f>
        <v/>
      </c>
      <c r="AJ45" s="62" t="str">
        <f>IF(AND('Mapa final'!$Y$51="Baja",'Mapa final'!$AA$51="Catastrófico"),CONCATENATE("R10C",'Mapa final'!$O$51),"")</f>
        <v/>
      </c>
      <c r="AK45" s="62" t="str">
        <f>IF(AND('Mapa final'!$Y$52="Baja",'Mapa final'!$AA$52="Catastrófico"),CONCATENATE("R10C",'Mapa final'!$O$52),"")</f>
        <v/>
      </c>
      <c r="AL45" s="62" t="str">
        <f>IF(AND('Mapa final'!$Y$53="Baja",'Mapa final'!$AA$53="Catastrófico"),CONCATENATE("R10C",'Mapa final'!$O$53),"")</f>
        <v/>
      </c>
      <c r="AM45" s="63" t="str">
        <f>IF(AND('Mapa final'!$Y$54="Baja",'Mapa final'!$AA$54="Catastrófico"),CONCATENATE("R10C",'Mapa final'!$O$54),"")</f>
        <v/>
      </c>
      <c r="AN45" s="83"/>
      <c r="AO45" s="372"/>
      <c r="AP45" s="373"/>
      <c r="AQ45" s="373"/>
      <c r="AR45" s="373"/>
      <c r="AS45" s="373"/>
      <c r="AT45" s="374"/>
    </row>
    <row r="46" spans="1:80" ht="46.5" customHeight="1" x14ac:dyDescent="0.35">
      <c r="A46" s="83"/>
      <c r="B46" s="297"/>
      <c r="C46" s="297"/>
      <c r="D46" s="298"/>
      <c r="E46" s="335" t="s">
        <v>113</v>
      </c>
      <c r="F46" s="336"/>
      <c r="G46" s="336"/>
      <c r="H46" s="336"/>
      <c r="I46" s="337"/>
      <c r="J46" s="73" t="str">
        <f>IF(AND('Mapa final'!$Y$10="Muy Baja",'Mapa final'!$AA$10="Leve"),CONCATENATE("R1C",'Mapa final'!$O$10),"")</f>
        <v/>
      </c>
      <c r="K46" s="74" t="e">
        <f>IF(AND('Mapa final'!#REF!="Muy Baja",'Mapa final'!#REF!="Leve"),CONCATENATE("R1C",'Mapa final'!#REF!),"")</f>
        <v>#REF!</v>
      </c>
      <c r="L46" s="74" t="e">
        <f>IF(AND('Mapa final'!#REF!="Muy Baja",'Mapa final'!#REF!="Leve"),CONCATENATE("R1C",'Mapa final'!#REF!),"")</f>
        <v>#REF!</v>
      </c>
      <c r="M46" s="74" t="e">
        <f>IF(AND('Mapa final'!#REF!="Muy Baja",'Mapa final'!#REF!="Leve"),CONCATENATE("R1C",'Mapa final'!#REF!),"")</f>
        <v>#REF!</v>
      </c>
      <c r="N46" s="74" t="e">
        <f>IF(AND('Mapa final'!#REF!="Muy Baja",'Mapa final'!#REF!="Leve"),CONCATENATE("R1C",'Mapa final'!#REF!),"")</f>
        <v>#REF!</v>
      </c>
      <c r="O46" s="75" t="e">
        <f>IF(AND('Mapa final'!#REF!="Muy Baja",'Mapa final'!#REF!="Leve"),CONCATENATE("R1C",'Mapa final'!#REF!),"")</f>
        <v>#REF!</v>
      </c>
      <c r="P46" s="73" t="str">
        <f>IF(AND('Mapa final'!$Y$10="Muy Baja",'Mapa final'!$AA$10="Menor"),CONCATENATE("R1C",'Mapa final'!$O$10),"")</f>
        <v/>
      </c>
      <c r="Q46" s="74" t="e">
        <f>IF(AND('Mapa final'!#REF!="Muy Baja",'Mapa final'!#REF!="Menor"),CONCATENATE("R1C",'Mapa final'!#REF!),"")</f>
        <v>#REF!</v>
      </c>
      <c r="R46" s="74" t="e">
        <f>IF(AND('Mapa final'!#REF!="Muy Baja",'Mapa final'!#REF!="Menor"),CONCATENATE("R1C",'Mapa final'!#REF!),"")</f>
        <v>#REF!</v>
      </c>
      <c r="S46" s="74" t="e">
        <f>IF(AND('Mapa final'!#REF!="Muy Baja",'Mapa final'!#REF!="Menor"),CONCATENATE("R1C",'Mapa final'!#REF!),"")</f>
        <v>#REF!</v>
      </c>
      <c r="T46" s="74" t="e">
        <f>IF(AND('Mapa final'!#REF!="Muy Baja",'Mapa final'!#REF!="Menor"),CONCATENATE("R1C",'Mapa final'!#REF!),"")</f>
        <v>#REF!</v>
      </c>
      <c r="U46" s="75" t="e">
        <f>IF(AND('Mapa final'!#REF!="Muy Baja",'Mapa final'!#REF!="Menor"),CONCATENATE("R1C",'Mapa final'!#REF!),"")</f>
        <v>#REF!</v>
      </c>
      <c r="V46" s="64" t="str">
        <f>IF(AND('Mapa final'!$Y$10="Muy Baja",'Mapa final'!$AA$10="Moderado"),CONCATENATE("R1C",'Mapa final'!$O$10),"")</f>
        <v/>
      </c>
      <c r="W46" s="82" t="e">
        <f>IF(AND('Mapa final'!#REF!="Muy Baja",'Mapa final'!#REF!="Moderado"),CONCATENATE("R1C",'Mapa final'!#REF!),"")</f>
        <v>#REF!</v>
      </c>
      <c r="X46" s="65" t="e">
        <f>IF(AND('Mapa final'!#REF!="Muy Baja",'Mapa final'!#REF!="Moderado"),CONCATENATE("R1C",'Mapa final'!#REF!),"")</f>
        <v>#REF!</v>
      </c>
      <c r="Y46" s="65" t="e">
        <f>IF(AND('Mapa final'!#REF!="Muy Baja",'Mapa final'!#REF!="Moderado"),CONCATENATE("R1C",'Mapa final'!#REF!),"")</f>
        <v>#REF!</v>
      </c>
      <c r="Z46" s="65" t="e">
        <f>IF(AND('Mapa final'!#REF!="Muy Baja",'Mapa final'!#REF!="Moderado"),CONCATENATE("R1C",'Mapa final'!#REF!),"")</f>
        <v>#REF!</v>
      </c>
      <c r="AA46" s="66"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97"/>
      <c r="C47" s="297"/>
      <c r="D47" s="298"/>
      <c r="E47" s="354"/>
      <c r="F47" s="339"/>
      <c r="G47" s="339"/>
      <c r="H47" s="339"/>
      <c r="I47" s="340"/>
      <c r="J47" s="76" t="str">
        <f>IF(AND('Mapa final'!$Y$11="Muy Baja",'Mapa final'!$AA$11="Leve"),CONCATENATE("R2C",'Mapa final'!$O$11),"")</f>
        <v/>
      </c>
      <c r="K47" s="77" t="e">
        <f>IF(AND('Mapa final'!#REF!="Muy Baja",'Mapa final'!#REF!="Leve"),CONCATENATE("R2C",'Mapa final'!#REF!),"")</f>
        <v>#REF!</v>
      </c>
      <c r="L47" s="77" t="e">
        <f>IF(AND('Mapa final'!#REF!="Muy Baja",'Mapa final'!#REF!="Leve"),CONCATENATE("R2C",'Mapa final'!#REF!),"")</f>
        <v>#REF!</v>
      </c>
      <c r="M47" s="77" t="e">
        <f>IF(AND('Mapa final'!#REF!="Muy Baja",'Mapa final'!#REF!="Leve"),CONCATENATE("R2C",'Mapa final'!#REF!),"")</f>
        <v>#REF!</v>
      </c>
      <c r="N47" s="77" t="e">
        <f>IF(AND('Mapa final'!#REF!="Muy Baja",'Mapa final'!#REF!="Leve"),CONCATENATE("R2C",'Mapa final'!#REF!),"")</f>
        <v>#REF!</v>
      </c>
      <c r="O47" s="78" t="e">
        <f>IF(AND('Mapa final'!#REF!="Muy Baja",'Mapa final'!#REF!="Leve"),CONCATENATE("R2C",'Mapa final'!#REF!),"")</f>
        <v>#REF!</v>
      </c>
      <c r="P47" s="76" t="str">
        <f>IF(AND('Mapa final'!$Y$11="Muy Baja",'Mapa final'!$AA$11="Menor"),CONCATENATE("R2C",'Mapa final'!$O$11),"")</f>
        <v/>
      </c>
      <c r="Q47" s="77" t="e">
        <f>IF(AND('Mapa final'!#REF!="Muy Baja",'Mapa final'!#REF!="Menor"),CONCATENATE("R2C",'Mapa final'!#REF!),"")</f>
        <v>#REF!</v>
      </c>
      <c r="R47" s="77" t="e">
        <f>IF(AND('Mapa final'!#REF!="Muy Baja",'Mapa final'!#REF!="Menor"),CONCATENATE("R2C",'Mapa final'!#REF!),"")</f>
        <v>#REF!</v>
      </c>
      <c r="S47" s="77" t="e">
        <f>IF(AND('Mapa final'!#REF!="Muy Baja",'Mapa final'!#REF!="Menor"),CONCATENATE("R2C",'Mapa final'!#REF!),"")</f>
        <v>#REF!</v>
      </c>
      <c r="T47" s="77" t="e">
        <f>IF(AND('Mapa final'!#REF!="Muy Baja",'Mapa final'!#REF!="Menor"),CONCATENATE("R2C",'Mapa final'!#REF!),"")</f>
        <v>#REF!</v>
      </c>
      <c r="U47" s="78" t="e">
        <f>IF(AND('Mapa final'!#REF!="Muy Baja",'Mapa final'!#REF!="Menor"),CONCATENATE("R2C",'Mapa final'!#REF!),"")</f>
        <v>#REF!</v>
      </c>
      <c r="V47" s="67" t="str">
        <f>IF(AND('Mapa final'!$Y$11="Muy Baja",'Mapa final'!$AA$11="Moderado"),CONCATENATE("R2C",'Mapa final'!$O$11),"")</f>
        <v/>
      </c>
      <c r="W47" s="68" t="e">
        <f>IF(AND('Mapa final'!#REF!="Muy Baja",'Mapa final'!#REF!="Moderado"),CONCATENATE("R2C",'Mapa final'!#REF!),"")</f>
        <v>#REF!</v>
      </c>
      <c r="X47" s="68" t="e">
        <f>IF(AND('Mapa final'!#REF!="Muy Baja",'Mapa final'!#REF!="Moderado"),CONCATENATE("R2C",'Mapa final'!#REF!),"")</f>
        <v>#REF!</v>
      </c>
      <c r="Y47" s="68" t="e">
        <f>IF(AND('Mapa final'!#REF!="Muy Baja",'Mapa final'!#REF!="Moderado"),CONCATENATE("R2C",'Mapa final'!#REF!),"")</f>
        <v>#REF!</v>
      </c>
      <c r="Z47" s="68" t="e">
        <f>IF(AND('Mapa final'!#REF!="Muy Baja",'Mapa final'!#REF!="Moderado"),CONCATENATE("R2C",'Mapa final'!#REF!),"")</f>
        <v>#REF!</v>
      </c>
      <c r="AA47" s="69" t="e">
        <f>IF(AND('Mapa final'!#REF!="Muy Baja",'Mapa final'!#REF!="Moderado"),CONCATENATE("R2C",'Mapa final'!#REF!),"")</f>
        <v>#REF!</v>
      </c>
      <c r="AB47" s="52" t="str">
        <f>IF(AND('Mapa final'!$Y$11="Muy Baja",'Mapa final'!$AA$11="Mayor"),CONCATENATE("R2C",'Mapa final'!$O$11),"")</f>
        <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str">
        <f>IF(AND('Mapa final'!$Y$11="Muy Baja",'Mapa final'!$AA$11="Catastrófico"),CONCATENATE("R2C",'Mapa final'!$O$11),"")</f>
        <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97"/>
      <c r="C48" s="297"/>
      <c r="D48" s="298"/>
      <c r="E48" s="354"/>
      <c r="F48" s="339"/>
      <c r="G48" s="339"/>
      <c r="H48" s="339"/>
      <c r="I48" s="340"/>
      <c r="J48" s="76" t="str">
        <f>IF(AND('Mapa final'!$Y$12="Muy Baja",'Mapa final'!$AA$12="Leve"),CONCATENATE("R3C",'Mapa final'!$O$12),"")</f>
        <v/>
      </c>
      <c r="K48" s="77" t="e">
        <f>IF(AND('Mapa final'!#REF!="Muy Baja",'Mapa final'!#REF!="Leve"),CONCATENATE("R3C",'Mapa final'!#REF!),"")</f>
        <v>#REF!</v>
      </c>
      <c r="L48" s="77" t="e">
        <f>IF(AND('Mapa final'!#REF!="Muy Baja",'Mapa final'!#REF!="Leve"),CONCATENATE("R3C",'Mapa final'!#REF!),"")</f>
        <v>#REF!</v>
      </c>
      <c r="M48" s="77" t="e">
        <f>IF(AND('Mapa final'!#REF!="Muy Baja",'Mapa final'!#REF!="Leve"),CONCATENATE("R3C",'Mapa final'!#REF!),"")</f>
        <v>#REF!</v>
      </c>
      <c r="N48" s="77" t="e">
        <f>IF(AND('Mapa final'!#REF!="Muy Baja",'Mapa final'!#REF!="Leve"),CONCATENATE("R3C",'Mapa final'!#REF!),"")</f>
        <v>#REF!</v>
      </c>
      <c r="O48" s="78" t="e">
        <f>IF(AND('Mapa final'!#REF!="Muy Baja",'Mapa final'!#REF!="Leve"),CONCATENATE("R3C",'Mapa final'!#REF!),"")</f>
        <v>#REF!</v>
      </c>
      <c r="P48" s="76" t="str">
        <f>IF(AND('Mapa final'!$Y$12="Muy Baja",'Mapa final'!$AA$12="Menor"),CONCATENATE("R3C",'Mapa final'!$O$12),"")</f>
        <v/>
      </c>
      <c r="Q48" s="77" t="e">
        <f>IF(AND('Mapa final'!#REF!="Muy Baja",'Mapa final'!#REF!="Menor"),CONCATENATE("R3C",'Mapa final'!#REF!),"")</f>
        <v>#REF!</v>
      </c>
      <c r="R48" s="77" t="e">
        <f>IF(AND('Mapa final'!#REF!="Muy Baja",'Mapa final'!#REF!="Menor"),CONCATENATE("R3C",'Mapa final'!#REF!),"")</f>
        <v>#REF!</v>
      </c>
      <c r="S48" s="77" t="e">
        <f>IF(AND('Mapa final'!#REF!="Muy Baja",'Mapa final'!#REF!="Menor"),CONCATENATE("R3C",'Mapa final'!#REF!),"")</f>
        <v>#REF!</v>
      </c>
      <c r="T48" s="77" t="e">
        <f>IF(AND('Mapa final'!#REF!="Muy Baja",'Mapa final'!#REF!="Menor"),CONCATENATE("R3C",'Mapa final'!#REF!),"")</f>
        <v>#REF!</v>
      </c>
      <c r="U48" s="78" t="e">
        <f>IF(AND('Mapa final'!#REF!="Muy Baja",'Mapa final'!#REF!="Menor"),CONCATENATE("R3C",'Mapa final'!#REF!),"")</f>
        <v>#REF!</v>
      </c>
      <c r="V48" s="67" t="str">
        <f>IF(AND('Mapa final'!$Y$12="Muy Baja",'Mapa final'!$AA$12="Moderado"),CONCATENATE("R3C",'Mapa final'!$O$12),"")</f>
        <v/>
      </c>
      <c r="W48" s="68" t="e">
        <f>IF(AND('Mapa final'!#REF!="Muy Baja",'Mapa final'!#REF!="Moderado"),CONCATENATE("R3C",'Mapa final'!#REF!),"")</f>
        <v>#REF!</v>
      </c>
      <c r="X48" s="68" t="e">
        <f>IF(AND('Mapa final'!#REF!="Muy Baja",'Mapa final'!#REF!="Moderado"),CONCATENATE("R3C",'Mapa final'!#REF!),"")</f>
        <v>#REF!</v>
      </c>
      <c r="Y48" s="68" t="e">
        <f>IF(AND('Mapa final'!#REF!="Muy Baja",'Mapa final'!#REF!="Moderado"),CONCATENATE("R3C",'Mapa final'!#REF!),"")</f>
        <v>#REF!</v>
      </c>
      <c r="Z48" s="68" t="e">
        <f>IF(AND('Mapa final'!#REF!="Muy Baja",'Mapa final'!#REF!="Moderado"),CONCATENATE("R3C",'Mapa final'!#REF!),"")</f>
        <v>#REF!</v>
      </c>
      <c r="AA48" s="69" t="e">
        <f>IF(AND('Mapa final'!#REF!="Muy Baja",'Mapa final'!#REF!="Moderado"),CONCATENATE("R3C",'Mapa final'!#REF!),"")</f>
        <v>#REF!</v>
      </c>
      <c r="AB48" s="52" t="str">
        <f>IF(AND('Mapa final'!$Y$12="Muy Baja",'Mapa final'!$AA$12="Mayor"),CONCATENATE("R3C",'Mapa final'!$O$12),"")</f>
        <v/>
      </c>
      <c r="AC48" s="53" t="e">
        <f>IF(AND('Mapa final'!#REF!="Muy Baja",'Mapa final'!#REF!="Mayor"),CONCATENATE("R3C",'Mapa final'!#REF!),"")</f>
        <v>#REF!</v>
      </c>
      <c r="AD48" s="53" t="e">
        <f>IF(AND('Mapa final'!#REF!="Muy Baja",'Mapa final'!#REF!="Mayor"),CONCATENATE("R3C",'Mapa final'!#REF!),"")</f>
        <v>#REF!</v>
      </c>
      <c r="AE48" s="53" t="e">
        <f>IF(AND('Mapa final'!#REF!="Muy Baja",'Mapa final'!#REF!="Mayor"),CONCATENATE("R3C",'Mapa final'!#REF!),"")</f>
        <v>#REF!</v>
      </c>
      <c r="AF48" s="53" t="e">
        <f>IF(AND('Mapa final'!#REF!="Muy Baja",'Mapa final'!#REF!="Mayor"),CONCATENATE("R3C",'Mapa final'!#REF!),"")</f>
        <v>#REF!</v>
      </c>
      <c r="AG48" s="54" t="e">
        <f>IF(AND('Mapa final'!#REF!="Muy Baja",'Mapa final'!#REF!="Mayor"),CONCATENATE("R3C",'Mapa final'!#REF!),"")</f>
        <v>#REF!</v>
      </c>
      <c r="AH48" s="55" t="str">
        <f>IF(AND('Mapa final'!$Y$12="Muy Baja",'Mapa final'!$AA$12="Catastrófico"),CONCATENATE("R3C",'Mapa final'!$O$12),"")</f>
        <v/>
      </c>
      <c r="AI48" s="56" t="e">
        <f>IF(AND('Mapa final'!#REF!="Muy Baja",'Mapa final'!#REF!="Catastrófico"),CONCATENATE("R3C",'Mapa final'!#REF!),"")</f>
        <v>#REF!</v>
      </c>
      <c r="AJ48" s="56" t="e">
        <f>IF(AND('Mapa final'!#REF!="Muy Baja",'Mapa final'!#REF!="Catastrófico"),CONCATENATE("R3C",'Mapa final'!#REF!),"")</f>
        <v>#REF!</v>
      </c>
      <c r="AK48" s="56" t="e">
        <f>IF(AND('Mapa final'!#REF!="Muy Baja",'Mapa final'!#REF!="Catastrófico"),CONCATENATE("R3C",'Mapa final'!#REF!),"")</f>
        <v>#REF!</v>
      </c>
      <c r="AL48" s="56" t="e">
        <f>IF(AND('Mapa final'!#REF!="Muy Baja",'Mapa final'!#REF!="Catastrófico"),CONCATENATE("R3C",'Mapa final'!#REF!),"")</f>
        <v>#REF!</v>
      </c>
      <c r="AM48" s="57" t="e">
        <f>IF(AND('Mapa final'!#REF!="Muy Baja",'Mapa final'!#REF!="Catastrófico"),CONCATENATE("R3C",'Mapa final'!#REF!),"")</f>
        <v>#REF!</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97"/>
      <c r="C49" s="297"/>
      <c r="D49" s="298"/>
      <c r="E49" s="338"/>
      <c r="F49" s="339"/>
      <c r="G49" s="339"/>
      <c r="H49" s="339"/>
      <c r="I49" s="340"/>
      <c r="J49" s="76" t="str">
        <f>IF(AND('Mapa final'!$Y$13="Muy Baja",'Mapa final'!$AA$13="Leve"),CONCATENATE("R4C",'Mapa final'!$O$13),"")</f>
        <v/>
      </c>
      <c r="K49" s="77" t="str">
        <f>IF(AND('Mapa final'!$Y$14="Muy Baja",'Mapa final'!$AA$14="Leve"),CONCATENATE("R4C",'Mapa final'!$O$14),"")</f>
        <v/>
      </c>
      <c r="L49" s="77" t="str">
        <f>IF(AND('Mapa final'!$Y$15="Muy Baja",'Mapa final'!$AA$15="Leve"),CONCATENATE("R4C",'Mapa final'!$O$15),"")</f>
        <v/>
      </c>
      <c r="M49" s="77" t="str">
        <f>IF(AND('Mapa final'!$Y$16="Muy Baja",'Mapa final'!$AA$16="Leve"),CONCATENATE("R4C",'Mapa final'!$O$16),"")</f>
        <v/>
      </c>
      <c r="N49" s="77" t="str">
        <f>IF(AND('Mapa final'!$Y$17="Muy Baja",'Mapa final'!$AA$17="Leve"),CONCATENATE("R4C",'Mapa final'!$O$17),"")</f>
        <v/>
      </c>
      <c r="O49" s="78" t="str">
        <f>IF(AND('Mapa final'!$Y$18="Muy Baja",'Mapa final'!$AA$18="Leve"),CONCATENATE("R4C",'Mapa final'!$O$18),"")</f>
        <v/>
      </c>
      <c r="P49" s="76" t="str">
        <f>IF(AND('Mapa final'!$Y$13="Muy Baja",'Mapa final'!$AA$13="Menor"),CONCATENATE("R4C",'Mapa final'!$O$13),"")</f>
        <v/>
      </c>
      <c r="Q49" s="77" t="str">
        <f>IF(AND('Mapa final'!$Y$14="Muy Baja",'Mapa final'!$AA$14="Menor"),CONCATENATE("R4C",'Mapa final'!$O$14),"")</f>
        <v/>
      </c>
      <c r="R49" s="77" t="str">
        <f>IF(AND('Mapa final'!$Y$15="Muy Baja",'Mapa final'!$AA$15="Menor"),CONCATENATE("R4C",'Mapa final'!$O$15),"")</f>
        <v/>
      </c>
      <c r="S49" s="77" t="str">
        <f>IF(AND('Mapa final'!$Y$16="Muy Baja",'Mapa final'!$AA$16="Menor"),CONCATENATE("R4C",'Mapa final'!$O$16),"")</f>
        <v/>
      </c>
      <c r="T49" s="77" t="str">
        <f>IF(AND('Mapa final'!$Y$17="Muy Baja",'Mapa final'!$AA$17="Menor"),CONCATENATE("R4C",'Mapa final'!$O$17),"")</f>
        <v/>
      </c>
      <c r="U49" s="78" t="str">
        <f>IF(AND('Mapa final'!$Y$18="Muy Baja",'Mapa final'!$AA$18="Menor"),CONCATENATE("R4C",'Mapa final'!$O$18),"")</f>
        <v/>
      </c>
      <c r="V49" s="67" t="str">
        <f>IF(AND('Mapa final'!$Y$13="Muy Baja",'Mapa final'!$AA$13="Moderado"),CONCATENATE("R4C",'Mapa final'!$O$13),"")</f>
        <v/>
      </c>
      <c r="W49" s="68" t="str">
        <f>IF(AND('Mapa final'!$Y$14="Muy Baja",'Mapa final'!$AA$14="Moderado"),CONCATENATE("R4C",'Mapa final'!$O$14),"")</f>
        <v/>
      </c>
      <c r="X49" s="68" t="str">
        <f>IF(AND('Mapa final'!$Y$15="Muy Baja",'Mapa final'!$AA$15="Moderado"),CONCATENATE("R4C",'Mapa final'!$O$15),"")</f>
        <v/>
      </c>
      <c r="Y49" s="68" t="str">
        <f>IF(AND('Mapa final'!$Y$16="Muy Baja",'Mapa final'!$AA$16="Moderado"),CONCATENATE("R4C",'Mapa final'!$O$16),"")</f>
        <v/>
      </c>
      <c r="Z49" s="68" t="str">
        <f>IF(AND('Mapa final'!$Y$17="Muy Baja",'Mapa final'!$AA$17="Moderado"),CONCATENATE("R4C",'Mapa final'!$O$17),"")</f>
        <v/>
      </c>
      <c r="AA49" s="69" t="str">
        <f>IF(AND('Mapa final'!$Y$18="Muy Baja",'Mapa final'!$AA$18="Moderado"),CONCATENATE("R4C",'Mapa final'!$O$18),"")</f>
        <v/>
      </c>
      <c r="AB49" s="52" t="str">
        <f>IF(AND('Mapa final'!$Y$13="Muy Baja",'Mapa final'!$AA$13="Mayor"),CONCATENATE("R4C",'Mapa final'!$O$13),"")</f>
        <v/>
      </c>
      <c r="AC49" s="53" t="str">
        <f>IF(AND('Mapa final'!$Y$14="Muy Baja",'Mapa final'!$AA$14="Mayor"),CONCATENATE("R4C",'Mapa final'!$O$14),"")</f>
        <v/>
      </c>
      <c r="AD49" s="53" t="str">
        <f>IF(AND('Mapa final'!$Y$15="Muy Baja",'Mapa final'!$AA$15="Mayor"),CONCATENATE("R4C",'Mapa final'!$O$15),"")</f>
        <v/>
      </c>
      <c r="AE49" s="53" t="str">
        <f>IF(AND('Mapa final'!$Y$16="Muy Baja",'Mapa final'!$AA$16="Mayor"),CONCATENATE("R4C",'Mapa final'!$O$16),"")</f>
        <v/>
      </c>
      <c r="AF49" s="53" t="str">
        <f>IF(AND('Mapa final'!$Y$17="Muy Baja",'Mapa final'!$AA$17="Mayor"),CONCATENATE("R4C",'Mapa final'!$O$17),"")</f>
        <v/>
      </c>
      <c r="AG49" s="54" t="str">
        <f>IF(AND('Mapa final'!$Y$18="Muy Baja",'Mapa final'!$AA$18="Mayor"),CONCATENATE("R4C",'Mapa final'!$O$18),"")</f>
        <v/>
      </c>
      <c r="AH49" s="55" t="str">
        <f>IF(AND('Mapa final'!$Y$13="Muy Baja",'Mapa final'!$AA$13="Catastrófico"),CONCATENATE("R4C",'Mapa final'!$O$13),"")</f>
        <v/>
      </c>
      <c r="AI49" s="56" t="str">
        <f>IF(AND('Mapa final'!$Y$14="Muy Baja",'Mapa final'!$AA$14="Catastrófico"),CONCATENATE("R4C",'Mapa final'!$O$14),"")</f>
        <v/>
      </c>
      <c r="AJ49" s="56" t="str">
        <f>IF(AND('Mapa final'!$Y$15="Muy Baja",'Mapa final'!$AA$15="Catastrófico"),CONCATENATE("R4C",'Mapa final'!$O$15),"")</f>
        <v/>
      </c>
      <c r="AK49" s="56" t="str">
        <f>IF(AND('Mapa final'!$Y$16="Muy Baja",'Mapa final'!$AA$16="Catastrófico"),CONCATENATE("R4C",'Mapa final'!$O$16),"")</f>
        <v/>
      </c>
      <c r="AL49" s="56" t="str">
        <f>IF(AND('Mapa final'!$Y$17="Muy Baja",'Mapa final'!$AA$17="Catastrófico"),CONCATENATE("R4C",'Mapa final'!$O$17),"")</f>
        <v/>
      </c>
      <c r="AM49" s="57" t="str">
        <f>IF(AND('Mapa final'!$Y$18="Muy Baja",'Mapa final'!$AA$18="Catastrófico"),CONCATENATE("R4C",'Mapa final'!$O$18),"")</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97"/>
      <c r="C50" s="297"/>
      <c r="D50" s="298"/>
      <c r="E50" s="338"/>
      <c r="F50" s="339"/>
      <c r="G50" s="339"/>
      <c r="H50" s="339"/>
      <c r="I50" s="340"/>
      <c r="J50" s="76" t="str">
        <f>IF(AND('Mapa final'!$Y$19="Muy Baja",'Mapa final'!$AA$19="Leve"),CONCATENATE("R5C",'Mapa final'!$O$19),"")</f>
        <v/>
      </c>
      <c r="K50" s="77" t="str">
        <f>IF(AND('Mapa final'!$Y$20="Muy Baja",'Mapa final'!$AA$20="Leve"),CONCATENATE("R5C",'Mapa final'!$O$20),"")</f>
        <v/>
      </c>
      <c r="L50" s="77" t="str">
        <f>IF(AND('Mapa final'!$Y$21="Muy Baja",'Mapa final'!$AA$21="Leve"),CONCATENATE("R5C",'Mapa final'!$O$21),"")</f>
        <v/>
      </c>
      <c r="M50" s="77" t="str">
        <f>IF(AND('Mapa final'!$Y$22="Muy Baja",'Mapa final'!$AA$22="Leve"),CONCATENATE("R5C",'Mapa final'!$O$22),"")</f>
        <v/>
      </c>
      <c r="N50" s="77" t="str">
        <f>IF(AND('Mapa final'!$Y$23="Muy Baja",'Mapa final'!$AA$23="Leve"),CONCATENATE("R5C",'Mapa final'!$O$23),"")</f>
        <v/>
      </c>
      <c r="O50" s="78" t="str">
        <f>IF(AND('Mapa final'!$Y$24="Muy Baja",'Mapa final'!$AA$24="Leve"),CONCATENATE("R5C",'Mapa final'!$O$24),"")</f>
        <v/>
      </c>
      <c r="P50" s="76" t="str">
        <f>IF(AND('Mapa final'!$Y$19="Muy Baja",'Mapa final'!$AA$19="Menor"),CONCATENATE("R5C",'Mapa final'!$O$19),"")</f>
        <v/>
      </c>
      <c r="Q50" s="77" t="str">
        <f>IF(AND('Mapa final'!$Y$20="Muy Baja",'Mapa final'!$AA$20="Menor"),CONCATENATE("R5C",'Mapa final'!$O$20),"")</f>
        <v/>
      </c>
      <c r="R50" s="77" t="str">
        <f>IF(AND('Mapa final'!$Y$21="Muy Baja",'Mapa final'!$AA$21="Menor"),CONCATENATE("R5C",'Mapa final'!$O$21),"")</f>
        <v/>
      </c>
      <c r="S50" s="77" t="str">
        <f>IF(AND('Mapa final'!$Y$22="Muy Baja",'Mapa final'!$AA$22="Menor"),CONCATENATE("R5C",'Mapa final'!$O$22),"")</f>
        <v/>
      </c>
      <c r="T50" s="77" t="str">
        <f>IF(AND('Mapa final'!$Y$23="Muy Baja",'Mapa final'!$AA$23="Menor"),CONCATENATE("R5C",'Mapa final'!$O$23),"")</f>
        <v/>
      </c>
      <c r="U50" s="78" t="str">
        <f>IF(AND('Mapa final'!$Y$24="Muy Baja",'Mapa final'!$AA$24="Menor"),CONCATENATE("R5C",'Mapa final'!$O$24),"")</f>
        <v/>
      </c>
      <c r="V50" s="67" t="str">
        <f>IF(AND('Mapa final'!$Y$19="Muy Baja",'Mapa final'!$AA$19="Moderado"),CONCATENATE("R5C",'Mapa final'!$O$19),"")</f>
        <v/>
      </c>
      <c r="W50" s="68" t="str">
        <f>IF(AND('Mapa final'!$Y$20="Muy Baja",'Mapa final'!$AA$20="Moderado"),CONCATENATE("R5C",'Mapa final'!$O$20),"")</f>
        <v/>
      </c>
      <c r="X50" s="68" t="str">
        <f>IF(AND('Mapa final'!$Y$21="Muy Baja",'Mapa final'!$AA$21="Moderado"),CONCATENATE("R5C",'Mapa final'!$O$21),"")</f>
        <v/>
      </c>
      <c r="Y50" s="68" t="str">
        <f>IF(AND('Mapa final'!$Y$22="Muy Baja",'Mapa final'!$AA$22="Moderado"),CONCATENATE("R5C",'Mapa final'!$O$22),"")</f>
        <v/>
      </c>
      <c r="Z50" s="68" t="str">
        <f>IF(AND('Mapa final'!$Y$23="Muy Baja",'Mapa final'!$AA$23="Moderado"),CONCATENATE("R5C",'Mapa final'!$O$23),"")</f>
        <v/>
      </c>
      <c r="AA50" s="69" t="str">
        <f>IF(AND('Mapa final'!$Y$24="Muy Baja",'Mapa final'!$AA$24="Moderado"),CONCATENATE("R5C",'Mapa final'!$O$24),"")</f>
        <v/>
      </c>
      <c r="AB50" s="52" t="str">
        <f>IF(AND('Mapa final'!$Y$19="Muy Baja",'Mapa final'!$AA$19="Mayor"),CONCATENATE("R5C",'Mapa final'!$O$19),"")</f>
        <v/>
      </c>
      <c r="AC50" s="53" t="str">
        <f>IF(AND('Mapa final'!$Y$20="Muy Baja",'Mapa final'!$AA$20="Mayor"),CONCATENATE("R5C",'Mapa final'!$O$20),"")</f>
        <v/>
      </c>
      <c r="AD50" s="53" t="str">
        <f>IF(AND('Mapa final'!$Y$21="Muy Baja",'Mapa final'!$AA$21="Mayor"),CONCATENATE("R5C",'Mapa final'!$O$21),"")</f>
        <v/>
      </c>
      <c r="AE50" s="53" t="str">
        <f>IF(AND('Mapa final'!$Y$22="Muy Baja",'Mapa final'!$AA$22="Mayor"),CONCATENATE("R5C",'Mapa final'!$O$22),"")</f>
        <v/>
      </c>
      <c r="AF50" s="53" t="str">
        <f>IF(AND('Mapa final'!$Y$23="Muy Baja",'Mapa final'!$AA$23="Mayor"),CONCATENATE("R5C",'Mapa final'!$O$23),"")</f>
        <v/>
      </c>
      <c r="AG50" s="54" t="str">
        <f>IF(AND('Mapa final'!$Y$24="Muy Baja",'Mapa final'!$AA$24="Mayor"),CONCATENATE("R5C",'Mapa final'!$O$24),"")</f>
        <v/>
      </c>
      <c r="AH50" s="55" t="str">
        <f>IF(AND('Mapa final'!$Y$19="Muy Baja",'Mapa final'!$AA$19="Catastrófico"),CONCATENATE("R5C",'Mapa final'!$O$19),"")</f>
        <v/>
      </c>
      <c r="AI50" s="56" t="str">
        <f>IF(AND('Mapa final'!$Y$20="Muy Baja",'Mapa final'!$AA$20="Catastrófico"),CONCATENATE("R5C",'Mapa final'!$O$20),"")</f>
        <v/>
      </c>
      <c r="AJ50" s="56" t="str">
        <f>IF(AND('Mapa final'!$Y$21="Muy Baja",'Mapa final'!$AA$21="Catastrófico"),CONCATENATE("R5C",'Mapa final'!$O$21),"")</f>
        <v/>
      </c>
      <c r="AK50" s="56" t="str">
        <f>IF(AND('Mapa final'!$Y$22="Muy Baja",'Mapa final'!$AA$22="Catastrófico"),CONCATENATE("R5C",'Mapa final'!$O$22),"")</f>
        <v/>
      </c>
      <c r="AL50" s="56" t="str">
        <f>IF(AND('Mapa final'!$Y$23="Muy Baja",'Mapa final'!$AA$23="Catastrófico"),CONCATENATE("R5C",'Mapa final'!$O$23),"")</f>
        <v/>
      </c>
      <c r="AM50" s="57" t="str">
        <f>IF(AND('Mapa final'!$Y$24="Muy Baja",'Mapa final'!$AA$24="Catastrófico"),CONCATENATE("R5C",'Mapa final'!$O$24),"")</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97"/>
      <c r="C51" s="297"/>
      <c r="D51" s="298"/>
      <c r="E51" s="338"/>
      <c r="F51" s="339"/>
      <c r="G51" s="339"/>
      <c r="H51" s="339"/>
      <c r="I51" s="340"/>
      <c r="J51" s="76" t="str">
        <f>IF(AND('Mapa final'!$Y$25="Muy Baja",'Mapa final'!$AA$25="Leve"),CONCATENATE("R6C",'Mapa final'!$O$25),"")</f>
        <v/>
      </c>
      <c r="K51" s="77" t="str">
        <f>IF(AND('Mapa final'!$Y$26="Muy Baja",'Mapa final'!$AA$26="Leve"),CONCATENATE("R6C",'Mapa final'!$O$26),"")</f>
        <v/>
      </c>
      <c r="L51" s="77" t="str">
        <f>IF(AND('Mapa final'!$Y$27="Muy Baja",'Mapa final'!$AA$27="Leve"),CONCATENATE("R6C",'Mapa final'!$O$27),"")</f>
        <v/>
      </c>
      <c r="M51" s="77" t="str">
        <f>IF(AND('Mapa final'!$Y$28="Muy Baja",'Mapa final'!$AA$28="Leve"),CONCATENATE("R6C",'Mapa final'!$O$28),"")</f>
        <v/>
      </c>
      <c r="N51" s="77" t="str">
        <f>IF(AND('Mapa final'!$Y$29="Muy Baja",'Mapa final'!$AA$29="Leve"),CONCATENATE("R6C",'Mapa final'!$O$29),"")</f>
        <v/>
      </c>
      <c r="O51" s="78" t="str">
        <f>IF(AND('Mapa final'!$Y$30="Muy Baja",'Mapa final'!$AA$30="Leve"),CONCATENATE("R6C",'Mapa final'!$O$30),"")</f>
        <v/>
      </c>
      <c r="P51" s="76" t="str">
        <f>IF(AND('Mapa final'!$Y$25="Muy Baja",'Mapa final'!$AA$25="Menor"),CONCATENATE("R6C",'Mapa final'!$O$25),"")</f>
        <v/>
      </c>
      <c r="Q51" s="77" t="str">
        <f>IF(AND('Mapa final'!$Y$26="Muy Baja",'Mapa final'!$AA$26="Menor"),CONCATENATE("R6C",'Mapa final'!$O$26),"")</f>
        <v/>
      </c>
      <c r="R51" s="77" t="str">
        <f>IF(AND('Mapa final'!$Y$27="Muy Baja",'Mapa final'!$AA$27="Menor"),CONCATENATE("R6C",'Mapa final'!$O$27),"")</f>
        <v/>
      </c>
      <c r="S51" s="77" t="str">
        <f>IF(AND('Mapa final'!$Y$28="Muy Baja",'Mapa final'!$AA$28="Menor"),CONCATENATE("R6C",'Mapa final'!$O$28),"")</f>
        <v/>
      </c>
      <c r="T51" s="77" t="str">
        <f>IF(AND('Mapa final'!$Y$29="Muy Baja",'Mapa final'!$AA$29="Menor"),CONCATENATE("R6C",'Mapa final'!$O$29),"")</f>
        <v/>
      </c>
      <c r="U51" s="78" t="str">
        <f>IF(AND('Mapa final'!$Y$30="Muy Baja",'Mapa final'!$AA$30="Menor"),CONCATENATE("R6C",'Mapa final'!$O$30),"")</f>
        <v/>
      </c>
      <c r="V51" s="67" t="str">
        <f>IF(AND('Mapa final'!$Y$25="Muy Baja",'Mapa final'!$AA$25="Moderado"),CONCATENATE("R6C",'Mapa final'!$O$25),"")</f>
        <v/>
      </c>
      <c r="W51" s="68" t="str">
        <f>IF(AND('Mapa final'!$Y$26="Muy Baja",'Mapa final'!$AA$26="Moderado"),CONCATENATE("R6C",'Mapa final'!$O$26),"")</f>
        <v/>
      </c>
      <c r="X51" s="68" t="str">
        <f>IF(AND('Mapa final'!$Y$27="Muy Baja",'Mapa final'!$AA$27="Moderado"),CONCATENATE("R6C",'Mapa final'!$O$27),"")</f>
        <v/>
      </c>
      <c r="Y51" s="68" t="str">
        <f>IF(AND('Mapa final'!$Y$28="Muy Baja",'Mapa final'!$AA$28="Moderado"),CONCATENATE("R6C",'Mapa final'!$O$28),"")</f>
        <v/>
      </c>
      <c r="Z51" s="68" t="str">
        <f>IF(AND('Mapa final'!$Y$29="Muy Baja",'Mapa final'!$AA$29="Moderado"),CONCATENATE("R6C",'Mapa final'!$O$29),"")</f>
        <v/>
      </c>
      <c r="AA51" s="69" t="str">
        <f>IF(AND('Mapa final'!$Y$30="Muy Baja",'Mapa final'!$AA$30="Moderado"),CONCATENATE("R6C",'Mapa final'!$O$30),"")</f>
        <v/>
      </c>
      <c r="AB51" s="52" t="str">
        <f>IF(AND('Mapa final'!$Y$25="Muy Baja",'Mapa final'!$AA$25="Mayor"),CONCATENATE("R6C",'Mapa final'!$O$25),"")</f>
        <v/>
      </c>
      <c r="AC51" s="53" t="str">
        <f>IF(AND('Mapa final'!$Y$26="Muy Baja",'Mapa final'!$AA$26="Mayor"),CONCATENATE("R6C",'Mapa final'!$O$26),"")</f>
        <v/>
      </c>
      <c r="AD51" s="53" t="str">
        <f>IF(AND('Mapa final'!$Y$27="Muy Baja",'Mapa final'!$AA$27="Mayor"),CONCATENATE("R6C",'Mapa final'!$O$27),"")</f>
        <v/>
      </c>
      <c r="AE51" s="53" t="str">
        <f>IF(AND('Mapa final'!$Y$28="Muy Baja",'Mapa final'!$AA$28="Mayor"),CONCATENATE("R6C",'Mapa final'!$O$28),"")</f>
        <v/>
      </c>
      <c r="AF51" s="53" t="str">
        <f>IF(AND('Mapa final'!$Y$29="Muy Baja",'Mapa final'!$AA$29="Mayor"),CONCATENATE("R6C",'Mapa final'!$O$29),"")</f>
        <v/>
      </c>
      <c r="AG51" s="54" t="str">
        <f>IF(AND('Mapa final'!$Y$30="Muy Baja",'Mapa final'!$AA$30="Mayor"),CONCATENATE("R6C",'Mapa final'!$O$30),"")</f>
        <v/>
      </c>
      <c r="AH51" s="55" t="str">
        <f>IF(AND('Mapa final'!$Y$25="Muy Baja",'Mapa final'!$AA$25="Catastrófico"),CONCATENATE("R6C",'Mapa final'!$O$25),"")</f>
        <v/>
      </c>
      <c r="AI51" s="56" t="str">
        <f>IF(AND('Mapa final'!$Y$26="Muy Baja",'Mapa final'!$AA$26="Catastrófico"),CONCATENATE("R6C",'Mapa final'!$O$26),"")</f>
        <v/>
      </c>
      <c r="AJ51" s="56" t="str">
        <f>IF(AND('Mapa final'!$Y$27="Muy Baja",'Mapa final'!$AA$27="Catastrófico"),CONCATENATE("R6C",'Mapa final'!$O$27),"")</f>
        <v/>
      </c>
      <c r="AK51" s="56" t="str">
        <f>IF(AND('Mapa final'!$Y$28="Muy Baja",'Mapa final'!$AA$28="Catastrófico"),CONCATENATE("R6C",'Mapa final'!$O$28),"")</f>
        <v/>
      </c>
      <c r="AL51" s="56" t="str">
        <f>IF(AND('Mapa final'!$Y$29="Muy Baja",'Mapa final'!$AA$29="Catastrófico"),CONCATENATE("R6C",'Mapa final'!$O$29),"")</f>
        <v/>
      </c>
      <c r="AM51" s="57" t="str">
        <f>IF(AND('Mapa final'!$Y$30="Muy Baja",'Mapa final'!$AA$30="Catastrófico"),CONCATENATE("R6C",'Mapa final'!$O$30),"")</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97"/>
      <c r="C52" s="297"/>
      <c r="D52" s="298"/>
      <c r="E52" s="338"/>
      <c r="F52" s="339"/>
      <c r="G52" s="339"/>
      <c r="H52" s="339"/>
      <c r="I52" s="340"/>
      <c r="J52" s="76" t="str">
        <f>IF(AND('Mapa final'!$Y$31="Muy Baja",'Mapa final'!$AA$31="Leve"),CONCATENATE("R7C",'Mapa final'!$O$31),"")</f>
        <v/>
      </c>
      <c r="K52" s="77" t="str">
        <f>IF(AND('Mapa final'!$Y$32="Muy Baja",'Mapa final'!$AA$32="Leve"),CONCATENATE("R7C",'Mapa final'!$O$32),"")</f>
        <v/>
      </c>
      <c r="L52" s="77" t="str">
        <f>IF(AND('Mapa final'!$Y$33="Muy Baja",'Mapa final'!$AA$33="Leve"),CONCATENATE("R7C",'Mapa final'!$O$33),"")</f>
        <v/>
      </c>
      <c r="M52" s="77" t="str">
        <f>IF(AND('Mapa final'!$Y$34="Muy Baja",'Mapa final'!$AA$34="Leve"),CONCATENATE("R7C",'Mapa final'!$O$34),"")</f>
        <v/>
      </c>
      <c r="N52" s="77" t="str">
        <f>IF(AND('Mapa final'!$Y$35="Muy Baja",'Mapa final'!$AA$35="Leve"),CONCATENATE("R7C",'Mapa final'!$O$35),"")</f>
        <v/>
      </c>
      <c r="O52" s="78" t="str">
        <f>IF(AND('Mapa final'!$Y$36="Muy Baja",'Mapa final'!$AA$36="Leve"),CONCATENATE("R7C",'Mapa final'!$O$36),"")</f>
        <v/>
      </c>
      <c r="P52" s="76" t="str">
        <f>IF(AND('Mapa final'!$Y$31="Muy Baja",'Mapa final'!$AA$31="Menor"),CONCATENATE("R7C",'Mapa final'!$O$31),"")</f>
        <v/>
      </c>
      <c r="Q52" s="77" t="str">
        <f>IF(AND('Mapa final'!$Y$32="Muy Baja",'Mapa final'!$AA$32="Menor"),CONCATENATE("R7C",'Mapa final'!$O$32),"")</f>
        <v/>
      </c>
      <c r="R52" s="77" t="str">
        <f>IF(AND('Mapa final'!$Y$33="Muy Baja",'Mapa final'!$AA$33="Menor"),CONCATENATE("R7C",'Mapa final'!$O$33),"")</f>
        <v/>
      </c>
      <c r="S52" s="77" t="str">
        <f>IF(AND('Mapa final'!$Y$34="Muy Baja",'Mapa final'!$AA$34="Menor"),CONCATENATE("R7C",'Mapa final'!$O$34),"")</f>
        <v/>
      </c>
      <c r="T52" s="77" t="str">
        <f>IF(AND('Mapa final'!$Y$35="Muy Baja",'Mapa final'!$AA$35="Menor"),CONCATENATE("R7C",'Mapa final'!$O$35),"")</f>
        <v/>
      </c>
      <c r="U52" s="78" t="str">
        <f>IF(AND('Mapa final'!$Y$36="Muy Baja",'Mapa final'!$AA$36="Menor"),CONCATENATE("R7C",'Mapa final'!$O$36),"")</f>
        <v/>
      </c>
      <c r="V52" s="67" t="str">
        <f>IF(AND('Mapa final'!$Y$31="Muy Baja",'Mapa final'!$AA$31="Moderado"),CONCATENATE("R7C",'Mapa final'!$O$31),"")</f>
        <v/>
      </c>
      <c r="W52" s="68" t="str">
        <f>IF(AND('Mapa final'!$Y$32="Muy Baja",'Mapa final'!$AA$32="Moderado"),CONCATENATE("R7C",'Mapa final'!$O$32),"")</f>
        <v/>
      </c>
      <c r="X52" s="68" t="str">
        <f>IF(AND('Mapa final'!$Y$33="Muy Baja",'Mapa final'!$AA$33="Moderado"),CONCATENATE("R7C",'Mapa final'!$O$33),"")</f>
        <v/>
      </c>
      <c r="Y52" s="68" t="str">
        <f>IF(AND('Mapa final'!$Y$34="Muy Baja",'Mapa final'!$AA$34="Moderado"),CONCATENATE("R7C",'Mapa final'!$O$34),"")</f>
        <v/>
      </c>
      <c r="Z52" s="68" t="str">
        <f>IF(AND('Mapa final'!$Y$35="Muy Baja",'Mapa final'!$AA$35="Moderado"),CONCATENATE("R7C",'Mapa final'!$O$35),"")</f>
        <v/>
      </c>
      <c r="AA52" s="69" t="str">
        <f>IF(AND('Mapa final'!$Y$36="Muy Baja",'Mapa final'!$AA$36="Moderado"),CONCATENATE("R7C",'Mapa final'!$O$36),"")</f>
        <v/>
      </c>
      <c r="AB52" s="52" t="str">
        <f>IF(AND('Mapa final'!$Y$31="Muy Baja",'Mapa final'!$AA$31="Mayor"),CONCATENATE("R7C",'Mapa final'!$O$31),"")</f>
        <v/>
      </c>
      <c r="AC52" s="53" t="str">
        <f>IF(AND('Mapa final'!$Y$32="Muy Baja",'Mapa final'!$AA$32="Mayor"),CONCATENATE("R7C",'Mapa final'!$O$32),"")</f>
        <v/>
      </c>
      <c r="AD52" s="53" t="str">
        <f>IF(AND('Mapa final'!$Y$33="Muy Baja",'Mapa final'!$AA$33="Mayor"),CONCATENATE("R7C",'Mapa final'!$O$33),"")</f>
        <v/>
      </c>
      <c r="AE52" s="53" t="str">
        <f>IF(AND('Mapa final'!$Y$34="Muy Baja",'Mapa final'!$AA$34="Mayor"),CONCATENATE("R7C",'Mapa final'!$O$34),"")</f>
        <v/>
      </c>
      <c r="AF52" s="53" t="str">
        <f>IF(AND('Mapa final'!$Y$35="Muy Baja",'Mapa final'!$AA$35="Mayor"),CONCATENATE("R7C",'Mapa final'!$O$35),"")</f>
        <v/>
      </c>
      <c r="AG52" s="54" t="str">
        <f>IF(AND('Mapa final'!$Y$36="Muy Baja",'Mapa final'!$AA$36="Mayor"),CONCATENATE("R7C",'Mapa final'!$O$36),"")</f>
        <v/>
      </c>
      <c r="AH52" s="55" t="str">
        <f>IF(AND('Mapa final'!$Y$31="Muy Baja",'Mapa final'!$AA$31="Catastrófico"),CONCATENATE("R7C",'Mapa final'!$O$31),"")</f>
        <v/>
      </c>
      <c r="AI52" s="56" t="str">
        <f>IF(AND('Mapa final'!$Y$32="Muy Baja",'Mapa final'!$AA$32="Catastrófico"),CONCATENATE("R7C",'Mapa final'!$O$32),"")</f>
        <v/>
      </c>
      <c r="AJ52" s="56" t="str">
        <f>IF(AND('Mapa final'!$Y$33="Muy Baja",'Mapa final'!$AA$33="Catastrófico"),CONCATENATE("R7C",'Mapa final'!$O$33),"")</f>
        <v/>
      </c>
      <c r="AK52" s="56" t="str">
        <f>IF(AND('Mapa final'!$Y$34="Muy Baja",'Mapa final'!$AA$34="Catastrófico"),CONCATENATE("R7C",'Mapa final'!$O$34),"")</f>
        <v/>
      </c>
      <c r="AL52" s="56" t="str">
        <f>IF(AND('Mapa final'!$Y$35="Muy Baja",'Mapa final'!$AA$35="Catastrófico"),CONCATENATE("R7C",'Mapa final'!$O$35),"")</f>
        <v/>
      </c>
      <c r="AM52" s="57" t="str">
        <f>IF(AND('Mapa final'!$Y$36="Muy Baja",'Mapa final'!$AA$36="Catastrófico"),CONCATENATE("R7C",'Mapa final'!$O$36),"")</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97"/>
      <c r="C53" s="297"/>
      <c r="D53" s="298"/>
      <c r="E53" s="338"/>
      <c r="F53" s="339"/>
      <c r="G53" s="339"/>
      <c r="H53" s="339"/>
      <c r="I53" s="340"/>
      <c r="J53" s="76" t="str">
        <f>IF(AND('Mapa final'!$Y$37="Muy Baja",'Mapa final'!$AA$37="Leve"),CONCATENATE("R8C",'Mapa final'!$O$37),"")</f>
        <v/>
      </c>
      <c r="K53" s="77" t="str">
        <f>IF(AND('Mapa final'!$Y$38="Muy Baja",'Mapa final'!$AA$38="Leve"),CONCATENATE("R8C",'Mapa final'!$O$38),"")</f>
        <v/>
      </c>
      <c r="L53" s="77" t="str">
        <f>IF(AND('Mapa final'!$Y$39="Muy Baja",'Mapa final'!$AA$39="Leve"),CONCATENATE("R8C",'Mapa final'!$O$39),"")</f>
        <v/>
      </c>
      <c r="M53" s="77" t="str">
        <f>IF(AND('Mapa final'!$Y$40="Muy Baja",'Mapa final'!$AA$40="Leve"),CONCATENATE("R8C",'Mapa final'!$O$40),"")</f>
        <v/>
      </c>
      <c r="N53" s="77" t="str">
        <f>IF(AND('Mapa final'!$Y$41="Muy Baja",'Mapa final'!$AA$41="Leve"),CONCATENATE("R8C",'Mapa final'!$O$41),"")</f>
        <v/>
      </c>
      <c r="O53" s="78" t="str">
        <f>IF(AND('Mapa final'!$Y$42="Muy Baja",'Mapa final'!$AA$42="Leve"),CONCATENATE("R8C",'Mapa final'!$O$42),"")</f>
        <v/>
      </c>
      <c r="P53" s="76" t="str">
        <f>IF(AND('Mapa final'!$Y$37="Muy Baja",'Mapa final'!$AA$37="Menor"),CONCATENATE("R8C",'Mapa final'!$O$37),"")</f>
        <v/>
      </c>
      <c r="Q53" s="77" t="str">
        <f>IF(AND('Mapa final'!$Y$38="Muy Baja",'Mapa final'!$AA$38="Menor"),CONCATENATE("R8C",'Mapa final'!$O$38),"")</f>
        <v/>
      </c>
      <c r="R53" s="77" t="str">
        <f>IF(AND('Mapa final'!$Y$39="Muy Baja",'Mapa final'!$AA$39="Menor"),CONCATENATE("R8C",'Mapa final'!$O$39),"")</f>
        <v/>
      </c>
      <c r="S53" s="77" t="str">
        <f>IF(AND('Mapa final'!$Y$40="Muy Baja",'Mapa final'!$AA$40="Menor"),CONCATENATE("R8C",'Mapa final'!$O$40),"")</f>
        <v/>
      </c>
      <c r="T53" s="77" t="str">
        <f>IF(AND('Mapa final'!$Y$41="Muy Baja",'Mapa final'!$AA$41="Menor"),CONCATENATE("R8C",'Mapa final'!$O$41),"")</f>
        <v/>
      </c>
      <c r="U53" s="78" t="str">
        <f>IF(AND('Mapa final'!$Y$42="Muy Baja",'Mapa final'!$AA$42="Menor"),CONCATENATE("R8C",'Mapa final'!$O$42),"")</f>
        <v/>
      </c>
      <c r="V53" s="67" t="str">
        <f>IF(AND('Mapa final'!$Y$37="Muy Baja",'Mapa final'!$AA$37="Moderado"),CONCATENATE("R8C",'Mapa final'!$O$37),"")</f>
        <v/>
      </c>
      <c r="W53" s="68" t="str">
        <f>IF(AND('Mapa final'!$Y$38="Muy Baja",'Mapa final'!$AA$38="Moderado"),CONCATENATE("R8C",'Mapa final'!$O$38),"")</f>
        <v/>
      </c>
      <c r="X53" s="68" t="str">
        <f>IF(AND('Mapa final'!$Y$39="Muy Baja",'Mapa final'!$AA$39="Moderado"),CONCATENATE("R8C",'Mapa final'!$O$39),"")</f>
        <v/>
      </c>
      <c r="Y53" s="68" t="str">
        <f>IF(AND('Mapa final'!$Y$40="Muy Baja",'Mapa final'!$AA$40="Moderado"),CONCATENATE("R8C",'Mapa final'!$O$40),"")</f>
        <v/>
      </c>
      <c r="Z53" s="68" t="str">
        <f>IF(AND('Mapa final'!$Y$41="Muy Baja",'Mapa final'!$AA$41="Moderado"),CONCATENATE("R8C",'Mapa final'!$O$41),"")</f>
        <v/>
      </c>
      <c r="AA53" s="69" t="str">
        <f>IF(AND('Mapa final'!$Y$42="Muy Baja",'Mapa final'!$AA$42="Moderado"),CONCATENATE("R8C",'Mapa final'!$O$42),"")</f>
        <v/>
      </c>
      <c r="AB53" s="52" t="str">
        <f>IF(AND('Mapa final'!$Y$37="Muy Baja",'Mapa final'!$AA$37="Mayor"),CONCATENATE("R8C",'Mapa final'!$O$37),"")</f>
        <v/>
      </c>
      <c r="AC53" s="53" t="str">
        <f>IF(AND('Mapa final'!$Y$38="Muy Baja",'Mapa final'!$AA$38="Mayor"),CONCATENATE("R8C",'Mapa final'!$O$38),"")</f>
        <v/>
      </c>
      <c r="AD53" s="53" t="str">
        <f>IF(AND('Mapa final'!$Y$39="Muy Baja",'Mapa final'!$AA$39="Mayor"),CONCATENATE("R8C",'Mapa final'!$O$39),"")</f>
        <v/>
      </c>
      <c r="AE53" s="53" t="str">
        <f>IF(AND('Mapa final'!$Y$40="Muy Baja",'Mapa final'!$AA$40="Mayor"),CONCATENATE("R8C",'Mapa final'!$O$40),"")</f>
        <v/>
      </c>
      <c r="AF53" s="53" t="str">
        <f>IF(AND('Mapa final'!$Y$41="Muy Baja",'Mapa final'!$AA$41="Mayor"),CONCATENATE("R8C",'Mapa final'!$O$41),"")</f>
        <v/>
      </c>
      <c r="AG53" s="54" t="str">
        <f>IF(AND('Mapa final'!$Y$42="Muy Baja",'Mapa final'!$AA$42="Mayor"),CONCATENATE("R8C",'Mapa final'!$O$42),"")</f>
        <v/>
      </c>
      <c r="AH53" s="55" t="str">
        <f>IF(AND('Mapa final'!$Y$37="Muy Baja",'Mapa final'!$AA$37="Catastrófico"),CONCATENATE("R8C",'Mapa final'!$O$37),"")</f>
        <v/>
      </c>
      <c r="AI53" s="56" t="str">
        <f>IF(AND('Mapa final'!$Y$38="Muy Baja",'Mapa final'!$AA$38="Catastrófico"),CONCATENATE("R8C",'Mapa final'!$O$38),"")</f>
        <v/>
      </c>
      <c r="AJ53" s="56" t="str">
        <f>IF(AND('Mapa final'!$Y$39="Muy Baja",'Mapa final'!$AA$39="Catastrófico"),CONCATENATE("R8C",'Mapa final'!$O$39),"")</f>
        <v/>
      </c>
      <c r="AK53" s="56" t="str">
        <f>IF(AND('Mapa final'!$Y$40="Muy Baja",'Mapa final'!$AA$40="Catastrófico"),CONCATENATE("R8C",'Mapa final'!$O$40),"")</f>
        <v/>
      </c>
      <c r="AL53" s="56" t="str">
        <f>IF(AND('Mapa final'!$Y$41="Muy Baja",'Mapa final'!$AA$41="Catastrófico"),CONCATENATE("R8C",'Mapa final'!$O$41),"")</f>
        <v/>
      </c>
      <c r="AM53" s="57" t="str">
        <f>IF(AND('Mapa final'!$Y$42="Muy Baja",'Mapa final'!$AA$42="Catastrófico"),CONCATENATE("R8C",'Mapa final'!$O$42),"")</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97"/>
      <c r="C54" s="297"/>
      <c r="D54" s="298"/>
      <c r="E54" s="338"/>
      <c r="F54" s="339"/>
      <c r="G54" s="339"/>
      <c r="H54" s="339"/>
      <c r="I54" s="340"/>
      <c r="J54" s="76" t="str">
        <f>IF(AND('Mapa final'!$Y$43="Muy Baja",'Mapa final'!$AA$43="Leve"),CONCATENATE("R9C",'Mapa final'!$O$43),"")</f>
        <v/>
      </c>
      <c r="K54" s="77" t="str">
        <f>IF(AND('Mapa final'!$Y$44="Muy Baja",'Mapa final'!$AA$44="Leve"),CONCATENATE("R9C",'Mapa final'!$O$44),"")</f>
        <v/>
      </c>
      <c r="L54" s="77" t="str">
        <f>IF(AND('Mapa final'!$Y$45="Muy Baja",'Mapa final'!$AA$45="Leve"),CONCATENATE("R9C",'Mapa final'!$O$45),"")</f>
        <v/>
      </c>
      <c r="M54" s="77" t="str">
        <f>IF(AND('Mapa final'!$Y$46="Muy Baja",'Mapa final'!$AA$46="Leve"),CONCATENATE("R9C",'Mapa final'!$O$46),"")</f>
        <v/>
      </c>
      <c r="N54" s="77" t="str">
        <f>IF(AND('Mapa final'!$Y$47="Muy Baja",'Mapa final'!$AA$47="Leve"),CONCATENATE("R9C",'Mapa final'!$O$47),"")</f>
        <v/>
      </c>
      <c r="O54" s="78" t="str">
        <f>IF(AND('Mapa final'!$Y$48="Muy Baja",'Mapa final'!$AA$48="Leve"),CONCATENATE("R9C",'Mapa final'!$O$48),"")</f>
        <v/>
      </c>
      <c r="P54" s="76" t="str">
        <f>IF(AND('Mapa final'!$Y$43="Muy Baja",'Mapa final'!$AA$43="Menor"),CONCATENATE("R9C",'Mapa final'!$O$43),"")</f>
        <v/>
      </c>
      <c r="Q54" s="77" t="str">
        <f>IF(AND('Mapa final'!$Y$44="Muy Baja",'Mapa final'!$AA$44="Menor"),CONCATENATE("R9C",'Mapa final'!$O$44),"")</f>
        <v/>
      </c>
      <c r="R54" s="77" t="str">
        <f>IF(AND('Mapa final'!$Y$45="Muy Baja",'Mapa final'!$AA$45="Menor"),CONCATENATE("R9C",'Mapa final'!$O$45),"")</f>
        <v/>
      </c>
      <c r="S54" s="77" t="str">
        <f>IF(AND('Mapa final'!$Y$46="Muy Baja",'Mapa final'!$AA$46="Menor"),CONCATENATE("R9C",'Mapa final'!$O$46),"")</f>
        <v/>
      </c>
      <c r="T54" s="77" t="str">
        <f>IF(AND('Mapa final'!$Y$47="Muy Baja",'Mapa final'!$AA$47="Menor"),CONCATENATE("R9C",'Mapa final'!$O$47),"")</f>
        <v/>
      </c>
      <c r="U54" s="78" t="str">
        <f>IF(AND('Mapa final'!$Y$48="Muy Baja",'Mapa final'!$AA$48="Menor"),CONCATENATE("R9C",'Mapa final'!$O$48),"")</f>
        <v/>
      </c>
      <c r="V54" s="67" t="str">
        <f>IF(AND('Mapa final'!$Y$43="Muy Baja",'Mapa final'!$AA$43="Moderado"),CONCATENATE("R9C",'Mapa final'!$O$43),"")</f>
        <v/>
      </c>
      <c r="W54" s="68" t="str">
        <f>IF(AND('Mapa final'!$Y$44="Muy Baja",'Mapa final'!$AA$44="Moderado"),CONCATENATE("R9C",'Mapa final'!$O$44),"")</f>
        <v/>
      </c>
      <c r="X54" s="68" t="str">
        <f>IF(AND('Mapa final'!$Y$45="Muy Baja",'Mapa final'!$AA$45="Moderado"),CONCATENATE("R9C",'Mapa final'!$O$45),"")</f>
        <v/>
      </c>
      <c r="Y54" s="68" t="str">
        <f>IF(AND('Mapa final'!$Y$46="Muy Baja",'Mapa final'!$AA$46="Moderado"),CONCATENATE("R9C",'Mapa final'!$O$46),"")</f>
        <v/>
      </c>
      <c r="Z54" s="68" t="str">
        <f>IF(AND('Mapa final'!$Y$47="Muy Baja",'Mapa final'!$AA$47="Moderado"),CONCATENATE("R9C",'Mapa final'!$O$47),"")</f>
        <v/>
      </c>
      <c r="AA54" s="69" t="str">
        <f>IF(AND('Mapa final'!$Y$48="Muy Baja",'Mapa final'!$AA$48="Moderado"),CONCATENATE("R9C",'Mapa final'!$O$48),"")</f>
        <v/>
      </c>
      <c r="AB54" s="52" t="str">
        <f>IF(AND('Mapa final'!$Y$43="Muy Baja",'Mapa final'!$AA$43="Mayor"),CONCATENATE("R9C",'Mapa final'!$O$43),"")</f>
        <v/>
      </c>
      <c r="AC54" s="53" t="str">
        <f>IF(AND('Mapa final'!$Y$44="Muy Baja",'Mapa final'!$AA$44="Mayor"),CONCATENATE("R9C",'Mapa final'!$O$44),"")</f>
        <v/>
      </c>
      <c r="AD54" s="53" t="str">
        <f>IF(AND('Mapa final'!$Y$45="Muy Baja",'Mapa final'!$AA$45="Mayor"),CONCATENATE("R9C",'Mapa final'!$O$45),"")</f>
        <v/>
      </c>
      <c r="AE54" s="53" t="str">
        <f>IF(AND('Mapa final'!$Y$46="Muy Baja",'Mapa final'!$AA$46="Mayor"),CONCATENATE("R9C",'Mapa final'!$O$46),"")</f>
        <v/>
      </c>
      <c r="AF54" s="53" t="str">
        <f>IF(AND('Mapa final'!$Y$47="Muy Baja",'Mapa final'!$AA$47="Mayor"),CONCATENATE("R9C",'Mapa final'!$O$47),"")</f>
        <v/>
      </c>
      <c r="AG54" s="54" t="str">
        <f>IF(AND('Mapa final'!$Y$48="Muy Baja",'Mapa final'!$AA$48="Mayor"),CONCATENATE("R9C",'Mapa final'!$O$48),"")</f>
        <v/>
      </c>
      <c r="AH54" s="55" t="str">
        <f>IF(AND('Mapa final'!$Y$43="Muy Baja",'Mapa final'!$AA$43="Catastrófico"),CONCATENATE("R9C",'Mapa final'!$O$43),"")</f>
        <v/>
      </c>
      <c r="AI54" s="56" t="str">
        <f>IF(AND('Mapa final'!$Y$44="Muy Baja",'Mapa final'!$AA$44="Catastrófico"),CONCATENATE("R9C",'Mapa final'!$O$44),"")</f>
        <v/>
      </c>
      <c r="AJ54" s="56" t="str">
        <f>IF(AND('Mapa final'!$Y$45="Muy Baja",'Mapa final'!$AA$45="Catastrófico"),CONCATENATE("R9C",'Mapa final'!$O$45),"")</f>
        <v/>
      </c>
      <c r="AK54" s="56" t="str">
        <f>IF(AND('Mapa final'!$Y$46="Muy Baja",'Mapa final'!$AA$46="Catastrófico"),CONCATENATE("R9C",'Mapa final'!$O$46),"")</f>
        <v/>
      </c>
      <c r="AL54" s="56" t="str">
        <f>IF(AND('Mapa final'!$Y$47="Muy Baja",'Mapa final'!$AA$47="Catastrófico"),CONCATENATE("R9C",'Mapa final'!$O$47),"")</f>
        <v/>
      </c>
      <c r="AM54" s="57" t="str">
        <f>IF(AND('Mapa final'!$Y$48="Muy Baja",'Mapa final'!$AA$48="Catastrófico"),CONCATENATE("R9C",'Mapa final'!$O$48),"")</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97"/>
      <c r="C55" s="297"/>
      <c r="D55" s="298"/>
      <c r="E55" s="341"/>
      <c r="F55" s="342"/>
      <c r="G55" s="342"/>
      <c r="H55" s="342"/>
      <c r="I55" s="343"/>
      <c r="J55" s="79" t="str">
        <f>IF(AND('Mapa final'!$Y$49="Muy Baja",'Mapa final'!$AA$49="Leve"),CONCATENATE("R10C",'Mapa final'!$O$49),"")</f>
        <v/>
      </c>
      <c r="K55" s="80" t="str">
        <f>IF(AND('Mapa final'!$Y$50="Muy Baja",'Mapa final'!$AA$50="Leve"),CONCATENATE("R10C",'Mapa final'!$O$50),"")</f>
        <v/>
      </c>
      <c r="L55" s="80" t="str">
        <f>IF(AND('Mapa final'!$Y$51="Muy Baja",'Mapa final'!$AA$51="Leve"),CONCATENATE("R10C",'Mapa final'!$O$51),"")</f>
        <v/>
      </c>
      <c r="M55" s="80" t="str">
        <f>IF(AND('Mapa final'!$Y$52="Muy Baja",'Mapa final'!$AA$52="Leve"),CONCATENATE("R10C",'Mapa final'!$O$52),"")</f>
        <v/>
      </c>
      <c r="N55" s="80" t="str">
        <f>IF(AND('Mapa final'!$Y$53="Muy Baja",'Mapa final'!$AA$53="Leve"),CONCATENATE("R10C",'Mapa final'!$O$53),"")</f>
        <v/>
      </c>
      <c r="O55" s="81" t="str">
        <f>IF(AND('Mapa final'!$Y$54="Muy Baja",'Mapa final'!$AA$54="Leve"),CONCATENATE("R10C",'Mapa final'!$O$54),"")</f>
        <v/>
      </c>
      <c r="P55" s="79" t="str">
        <f>IF(AND('Mapa final'!$Y$49="Muy Baja",'Mapa final'!$AA$49="Menor"),CONCATENATE("R10C",'Mapa final'!$O$49),"")</f>
        <v/>
      </c>
      <c r="Q55" s="80" t="str">
        <f>IF(AND('Mapa final'!$Y$50="Muy Baja",'Mapa final'!$AA$50="Menor"),CONCATENATE("R10C",'Mapa final'!$O$50),"")</f>
        <v/>
      </c>
      <c r="R55" s="80" t="str">
        <f>IF(AND('Mapa final'!$Y$51="Muy Baja",'Mapa final'!$AA$51="Menor"),CONCATENATE("R10C",'Mapa final'!$O$51),"")</f>
        <v/>
      </c>
      <c r="S55" s="80" t="str">
        <f>IF(AND('Mapa final'!$Y$52="Muy Baja",'Mapa final'!$AA$52="Menor"),CONCATENATE("R10C",'Mapa final'!$O$52),"")</f>
        <v/>
      </c>
      <c r="T55" s="80" t="str">
        <f>IF(AND('Mapa final'!$Y$53="Muy Baja",'Mapa final'!$AA$53="Menor"),CONCATENATE("R10C",'Mapa final'!$O$53),"")</f>
        <v/>
      </c>
      <c r="U55" s="81" t="str">
        <f>IF(AND('Mapa final'!$Y$54="Muy Baja",'Mapa final'!$AA$54="Menor"),CONCATENATE("R10C",'Mapa final'!$O$54),"")</f>
        <v/>
      </c>
      <c r="V55" s="70" t="str">
        <f>IF(AND('Mapa final'!$Y$49="Muy Baja",'Mapa final'!$AA$49="Moderado"),CONCATENATE("R10C",'Mapa final'!$O$49),"")</f>
        <v/>
      </c>
      <c r="W55" s="71" t="str">
        <f>IF(AND('Mapa final'!$Y$50="Muy Baja",'Mapa final'!$AA$50="Moderado"),CONCATENATE("R10C",'Mapa final'!$O$50),"")</f>
        <v/>
      </c>
      <c r="X55" s="71" t="str">
        <f>IF(AND('Mapa final'!$Y$51="Muy Baja",'Mapa final'!$AA$51="Moderado"),CONCATENATE("R10C",'Mapa final'!$O$51),"")</f>
        <v/>
      </c>
      <c r="Y55" s="71" t="str">
        <f>IF(AND('Mapa final'!$Y$52="Muy Baja",'Mapa final'!$AA$52="Moderado"),CONCATENATE("R10C",'Mapa final'!$O$52),"")</f>
        <v/>
      </c>
      <c r="Z55" s="71" t="str">
        <f>IF(AND('Mapa final'!$Y$53="Muy Baja",'Mapa final'!$AA$53="Moderado"),CONCATENATE("R10C",'Mapa final'!$O$53),"")</f>
        <v/>
      </c>
      <c r="AA55" s="72" t="str">
        <f>IF(AND('Mapa final'!$Y$54="Muy Baja",'Mapa final'!$AA$54="Moderado"),CONCATENATE("R10C",'Mapa final'!$O$54),"")</f>
        <v/>
      </c>
      <c r="AB55" s="58" t="str">
        <f>IF(AND('Mapa final'!$Y$49="Muy Baja",'Mapa final'!$AA$49="Mayor"),CONCATENATE("R10C",'Mapa final'!$O$49),"")</f>
        <v/>
      </c>
      <c r="AC55" s="59" t="str">
        <f>IF(AND('Mapa final'!$Y$50="Muy Baja",'Mapa final'!$AA$50="Mayor"),CONCATENATE("R10C",'Mapa final'!$O$50),"")</f>
        <v/>
      </c>
      <c r="AD55" s="59" t="str">
        <f>IF(AND('Mapa final'!$Y$51="Muy Baja",'Mapa final'!$AA$51="Mayor"),CONCATENATE("R10C",'Mapa final'!$O$51),"")</f>
        <v/>
      </c>
      <c r="AE55" s="59" t="str">
        <f>IF(AND('Mapa final'!$Y$52="Muy Baja",'Mapa final'!$AA$52="Mayor"),CONCATENATE("R10C",'Mapa final'!$O$52),"")</f>
        <v/>
      </c>
      <c r="AF55" s="59" t="str">
        <f>IF(AND('Mapa final'!$Y$53="Muy Baja",'Mapa final'!$AA$53="Mayor"),CONCATENATE("R10C",'Mapa final'!$O$53),"")</f>
        <v/>
      </c>
      <c r="AG55" s="60" t="str">
        <f>IF(AND('Mapa final'!$Y$54="Muy Baja",'Mapa final'!$AA$54="Mayor"),CONCATENATE("R10C",'Mapa final'!$O$54),"")</f>
        <v/>
      </c>
      <c r="AH55" s="61" t="str">
        <f>IF(AND('Mapa final'!$Y$49="Muy Baja",'Mapa final'!$AA$49="Catastrófico"),CONCATENATE("R10C",'Mapa final'!$O$49),"")</f>
        <v/>
      </c>
      <c r="AI55" s="62" t="str">
        <f>IF(AND('Mapa final'!$Y$50="Muy Baja",'Mapa final'!$AA$50="Catastrófico"),CONCATENATE("R10C",'Mapa final'!$O$50),"")</f>
        <v/>
      </c>
      <c r="AJ55" s="62" t="str">
        <f>IF(AND('Mapa final'!$Y$51="Muy Baja",'Mapa final'!$AA$51="Catastrófico"),CONCATENATE("R10C",'Mapa final'!$O$51),"")</f>
        <v/>
      </c>
      <c r="AK55" s="62" t="str">
        <f>IF(AND('Mapa final'!$Y$52="Muy Baja",'Mapa final'!$AA$52="Catastrófico"),CONCATENATE("R10C",'Mapa final'!$O$52),"")</f>
        <v/>
      </c>
      <c r="AL55" s="62" t="str">
        <f>IF(AND('Mapa final'!$Y$53="Muy Baja",'Mapa final'!$AA$53="Catastrófico"),CONCATENATE("R10C",'Mapa final'!$O$53),"")</f>
        <v/>
      </c>
      <c r="AM55" s="63" t="str">
        <f>IF(AND('Mapa final'!$Y$54="Muy Baja",'Mapa final'!$AA$54="Catastrófico"),CONCATENATE("R10C",'Mapa final'!$O$54),"")</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5" t="s">
        <v>112</v>
      </c>
      <c r="K56" s="336"/>
      <c r="L56" s="336"/>
      <c r="M56" s="336"/>
      <c r="N56" s="336"/>
      <c r="O56" s="337"/>
      <c r="P56" s="335" t="s">
        <v>111</v>
      </c>
      <c r="Q56" s="336"/>
      <c r="R56" s="336"/>
      <c r="S56" s="336"/>
      <c r="T56" s="336"/>
      <c r="U56" s="337"/>
      <c r="V56" s="335" t="s">
        <v>110</v>
      </c>
      <c r="W56" s="336"/>
      <c r="X56" s="336"/>
      <c r="Y56" s="336"/>
      <c r="Z56" s="336"/>
      <c r="AA56" s="337"/>
      <c r="AB56" s="335" t="s">
        <v>109</v>
      </c>
      <c r="AC56" s="344"/>
      <c r="AD56" s="336"/>
      <c r="AE56" s="336"/>
      <c r="AF56" s="336"/>
      <c r="AG56" s="337"/>
      <c r="AH56" s="335" t="s">
        <v>108</v>
      </c>
      <c r="AI56" s="336"/>
      <c r="AJ56" s="336"/>
      <c r="AK56" s="336"/>
      <c r="AL56" s="336"/>
      <c r="AM56" s="337"/>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8"/>
      <c r="K57" s="339"/>
      <c r="L57" s="339"/>
      <c r="M57" s="339"/>
      <c r="N57" s="339"/>
      <c r="O57" s="340"/>
      <c r="P57" s="338"/>
      <c r="Q57" s="339"/>
      <c r="R57" s="339"/>
      <c r="S57" s="339"/>
      <c r="T57" s="339"/>
      <c r="U57" s="340"/>
      <c r="V57" s="338"/>
      <c r="W57" s="339"/>
      <c r="X57" s="339"/>
      <c r="Y57" s="339"/>
      <c r="Z57" s="339"/>
      <c r="AA57" s="340"/>
      <c r="AB57" s="338"/>
      <c r="AC57" s="339"/>
      <c r="AD57" s="339"/>
      <c r="AE57" s="339"/>
      <c r="AF57" s="339"/>
      <c r="AG57" s="340"/>
      <c r="AH57" s="338"/>
      <c r="AI57" s="339"/>
      <c r="AJ57" s="339"/>
      <c r="AK57" s="339"/>
      <c r="AL57" s="339"/>
      <c r="AM57" s="34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8"/>
      <c r="K58" s="339"/>
      <c r="L58" s="339"/>
      <c r="M58" s="339"/>
      <c r="N58" s="339"/>
      <c r="O58" s="340"/>
      <c r="P58" s="338"/>
      <c r="Q58" s="339"/>
      <c r="R58" s="339"/>
      <c r="S58" s="339"/>
      <c r="T58" s="339"/>
      <c r="U58" s="340"/>
      <c r="V58" s="338"/>
      <c r="W58" s="339"/>
      <c r="X58" s="339"/>
      <c r="Y58" s="339"/>
      <c r="Z58" s="339"/>
      <c r="AA58" s="340"/>
      <c r="AB58" s="338"/>
      <c r="AC58" s="339"/>
      <c r="AD58" s="339"/>
      <c r="AE58" s="339"/>
      <c r="AF58" s="339"/>
      <c r="AG58" s="340"/>
      <c r="AH58" s="338"/>
      <c r="AI58" s="339"/>
      <c r="AJ58" s="339"/>
      <c r="AK58" s="339"/>
      <c r="AL58" s="339"/>
      <c r="AM58" s="34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8"/>
      <c r="K59" s="339"/>
      <c r="L59" s="339"/>
      <c r="M59" s="339"/>
      <c r="N59" s="339"/>
      <c r="O59" s="340"/>
      <c r="P59" s="338"/>
      <c r="Q59" s="339"/>
      <c r="R59" s="339"/>
      <c r="S59" s="339"/>
      <c r="T59" s="339"/>
      <c r="U59" s="340"/>
      <c r="V59" s="338"/>
      <c r="W59" s="339"/>
      <c r="X59" s="339"/>
      <c r="Y59" s="339"/>
      <c r="Z59" s="339"/>
      <c r="AA59" s="340"/>
      <c r="AB59" s="338"/>
      <c r="AC59" s="339"/>
      <c r="AD59" s="339"/>
      <c r="AE59" s="339"/>
      <c r="AF59" s="339"/>
      <c r="AG59" s="340"/>
      <c r="AH59" s="338"/>
      <c r="AI59" s="339"/>
      <c r="AJ59" s="339"/>
      <c r="AK59" s="339"/>
      <c r="AL59" s="339"/>
      <c r="AM59" s="34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8"/>
      <c r="K60" s="339"/>
      <c r="L60" s="339"/>
      <c r="M60" s="339"/>
      <c r="N60" s="339"/>
      <c r="O60" s="340"/>
      <c r="P60" s="338"/>
      <c r="Q60" s="339"/>
      <c r="R60" s="339"/>
      <c r="S60" s="339"/>
      <c r="T60" s="339"/>
      <c r="U60" s="340"/>
      <c r="V60" s="338"/>
      <c r="W60" s="339"/>
      <c r="X60" s="339"/>
      <c r="Y60" s="339"/>
      <c r="Z60" s="339"/>
      <c r="AA60" s="340"/>
      <c r="AB60" s="338"/>
      <c r="AC60" s="339"/>
      <c r="AD60" s="339"/>
      <c r="AE60" s="339"/>
      <c r="AF60" s="339"/>
      <c r="AG60" s="340"/>
      <c r="AH60" s="338"/>
      <c r="AI60" s="339"/>
      <c r="AJ60" s="339"/>
      <c r="AK60" s="339"/>
      <c r="AL60" s="339"/>
      <c r="AM60" s="34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41"/>
      <c r="K61" s="342"/>
      <c r="L61" s="342"/>
      <c r="M61" s="342"/>
      <c r="N61" s="342"/>
      <c r="O61" s="343"/>
      <c r="P61" s="341"/>
      <c r="Q61" s="342"/>
      <c r="R61" s="342"/>
      <c r="S61" s="342"/>
      <c r="T61" s="342"/>
      <c r="U61" s="343"/>
      <c r="V61" s="341"/>
      <c r="W61" s="342"/>
      <c r="X61" s="342"/>
      <c r="Y61" s="342"/>
      <c r="Z61" s="342"/>
      <c r="AA61" s="343"/>
      <c r="AB61" s="341"/>
      <c r="AC61" s="342"/>
      <c r="AD61" s="342"/>
      <c r="AE61" s="342"/>
      <c r="AF61" s="342"/>
      <c r="AG61" s="343"/>
      <c r="AH61" s="341"/>
      <c r="AI61" s="342"/>
      <c r="AJ61" s="342"/>
      <c r="AK61" s="342"/>
      <c r="AL61" s="342"/>
      <c r="AM61" s="34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84" t="s">
        <v>55</v>
      </c>
      <c r="C1" s="384"/>
      <c r="D1" s="384"/>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D7" sqref="D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85" t="s">
        <v>63</v>
      </c>
      <c r="C1" s="385"/>
      <c r="D1" s="385"/>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86" t="s">
        <v>78</v>
      </c>
      <c r="C1" s="387"/>
      <c r="D1" s="387"/>
      <c r="E1" s="387"/>
      <c r="F1" s="388"/>
    </row>
    <row r="2" spans="2:6" ht="16.5" thickBot="1" x14ac:dyDescent="0.3">
      <c r="B2" s="89"/>
      <c r="C2" s="89"/>
      <c r="D2" s="89"/>
      <c r="E2" s="89"/>
      <c r="F2" s="89"/>
    </row>
    <row r="3" spans="2:6" ht="16.5" thickBot="1" x14ac:dyDescent="0.25">
      <c r="B3" s="390" t="s">
        <v>64</v>
      </c>
      <c r="C3" s="391"/>
      <c r="D3" s="391"/>
      <c r="E3" s="101" t="s">
        <v>65</v>
      </c>
      <c r="F3" s="102" t="s">
        <v>66</v>
      </c>
    </row>
    <row r="4" spans="2:6" ht="31.5" x14ac:dyDescent="0.2">
      <c r="B4" s="392" t="s">
        <v>67</v>
      </c>
      <c r="C4" s="394" t="s">
        <v>13</v>
      </c>
      <c r="D4" s="90" t="s">
        <v>14</v>
      </c>
      <c r="E4" s="91" t="s">
        <v>68</v>
      </c>
      <c r="F4" s="92">
        <v>0.25</v>
      </c>
    </row>
    <row r="5" spans="2:6" ht="47.25" x14ac:dyDescent="0.2">
      <c r="B5" s="393"/>
      <c r="C5" s="395"/>
      <c r="D5" s="93" t="s">
        <v>15</v>
      </c>
      <c r="E5" s="94" t="s">
        <v>69</v>
      </c>
      <c r="F5" s="95">
        <v>0.15</v>
      </c>
    </row>
    <row r="6" spans="2:6" ht="47.25" x14ac:dyDescent="0.2">
      <c r="B6" s="393"/>
      <c r="C6" s="395"/>
      <c r="D6" s="93" t="s">
        <v>16</v>
      </c>
      <c r="E6" s="94" t="s">
        <v>70</v>
      </c>
      <c r="F6" s="95">
        <v>0.1</v>
      </c>
    </row>
    <row r="7" spans="2:6" ht="63" x14ac:dyDescent="0.2">
      <c r="B7" s="393"/>
      <c r="C7" s="395" t="s">
        <v>17</v>
      </c>
      <c r="D7" s="93" t="s">
        <v>10</v>
      </c>
      <c r="E7" s="94" t="s">
        <v>71</v>
      </c>
      <c r="F7" s="95">
        <v>0.25</v>
      </c>
    </row>
    <row r="8" spans="2:6" ht="31.5" x14ac:dyDescent="0.2">
      <c r="B8" s="393"/>
      <c r="C8" s="395"/>
      <c r="D8" s="93" t="s">
        <v>9</v>
      </c>
      <c r="E8" s="94" t="s">
        <v>72</v>
      </c>
      <c r="F8" s="95">
        <v>0.15</v>
      </c>
    </row>
    <row r="9" spans="2:6" ht="47.25" x14ac:dyDescent="0.2">
      <c r="B9" s="393" t="s">
        <v>162</v>
      </c>
      <c r="C9" s="395" t="s">
        <v>18</v>
      </c>
      <c r="D9" s="93" t="s">
        <v>19</v>
      </c>
      <c r="E9" s="94" t="s">
        <v>73</v>
      </c>
      <c r="F9" s="96" t="s">
        <v>74</v>
      </c>
    </row>
    <row r="10" spans="2:6" ht="63" x14ac:dyDescent="0.2">
      <c r="B10" s="393"/>
      <c r="C10" s="395"/>
      <c r="D10" s="93" t="s">
        <v>20</v>
      </c>
      <c r="E10" s="94" t="s">
        <v>75</v>
      </c>
      <c r="F10" s="96" t="s">
        <v>74</v>
      </c>
    </row>
    <row r="11" spans="2:6" ht="47.25" x14ac:dyDescent="0.2">
      <c r="B11" s="393"/>
      <c r="C11" s="395" t="s">
        <v>21</v>
      </c>
      <c r="D11" s="93" t="s">
        <v>22</v>
      </c>
      <c r="E11" s="94" t="s">
        <v>76</v>
      </c>
      <c r="F11" s="96" t="s">
        <v>74</v>
      </c>
    </row>
    <row r="12" spans="2:6" ht="47.25" x14ac:dyDescent="0.2">
      <c r="B12" s="393"/>
      <c r="C12" s="395"/>
      <c r="D12" s="93" t="s">
        <v>23</v>
      </c>
      <c r="E12" s="94" t="s">
        <v>77</v>
      </c>
      <c r="F12" s="96" t="s">
        <v>74</v>
      </c>
    </row>
    <row r="13" spans="2:6" ht="31.5" x14ac:dyDescent="0.2">
      <c r="B13" s="393"/>
      <c r="C13" s="395" t="s">
        <v>24</v>
      </c>
      <c r="D13" s="93" t="s">
        <v>119</v>
      </c>
      <c r="E13" s="94" t="s">
        <v>122</v>
      </c>
      <c r="F13" s="96" t="s">
        <v>74</v>
      </c>
    </row>
    <row r="14" spans="2:6" ht="32.25" thickBot="1" x14ac:dyDescent="0.25">
      <c r="B14" s="396"/>
      <c r="C14" s="397"/>
      <c r="D14" s="97" t="s">
        <v>120</v>
      </c>
      <c r="E14" s="98" t="s">
        <v>121</v>
      </c>
      <c r="F14" s="99" t="s">
        <v>74</v>
      </c>
    </row>
    <row r="15" spans="2:6" ht="49.5" customHeight="1" x14ac:dyDescent="0.2">
      <c r="B15" s="389" t="s">
        <v>159</v>
      </c>
      <c r="C15" s="389"/>
      <c r="D15" s="389"/>
      <c r="E15" s="389"/>
      <c r="F15" s="389"/>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EDAT_2023</cp:lastModifiedBy>
  <cp:lastPrinted>2020-05-13T01:12:22Z</cp:lastPrinted>
  <dcterms:created xsi:type="dcterms:W3CDTF">2020-03-24T23:12:47Z</dcterms:created>
  <dcterms:modified xsi:type="dcterms:W3CDTF">2025-07-21T16:22:57Z</dcterms:modified>
</cp:coreProperties>
</file>