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gos 2025\"/>
    </mc:Choice>
  </mc:AlternateContent>
  <xr:revisionPtr revIDLastSave="0" documentId="13_ncr:1_{36763800-4379-4E7C-AE3B-9B580D96A50C}" xr6:coauthVersionLast="47" xr6:coauthVersionMax="47" xr10:uidLastSave="{00000000-0000-0000-0000-000000000000}"/>
  <bookViews>
    <workbookView xWindow="-120" yWindow="-120" windowWidth="29040" windowHeight="1584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3" i="1" l="1"/>
  <c r="M13" i="1"/>
  <c r="N13" i="1"/>
  <c r="T13" i="1"/>
  <c r="X13" i="1" s="1"/>
  <c r="Y13" i="1" s="1"/>
  <c r="AB13" i="1"/>
  <c r="AA13" i="1" s="1"/>
  <c r="Z13" i="1" l="1"/>
  <c r="AC13" i="1"/>
  <c r="I10" i="1"/>
  <c r="T10" i="1" l="1"/>
  <c r="K41" i="1"/>
  <c r="K34" i="1"/>
  <c r="K36" i="1"/>
  <c r="K40" i="1"/>
  <c r="K19" i="1"/>
  <c r="K28" i="1"/>
  <c r="K22" i="1"/>
  <c r="K26" i="1"/>
  <c r="K17" i="1"/>
  <c r="K23" i="1"/>
  <c r="K18" i="1"/>
  <c r="K25" i="1"/>
  <c r="K35" i="1"/>
  <c r="K43" i="1"/>
  <c r="K31" i="1"/>
  <c r="K44" i="1"/>
  <c r="K42" i="1"/>
  <c r="K38" i="1"/>
  <c r="K32" i="1"/>
  <c r="K30" i="1"/>
  <c r="K29" i="1"/>
  <c r="K37" i="1"/>
  <c r="K16" i="1"/>
  <c r="K24" i="1"/>
  <c r="K20" i="1"/>
  <c r="F221" i="13" l="1"/>
  <c r="F211" i="13"/>
  <c r="F212" i="13"/>
  <c r="F213" i="13"/>
  <c r="F214" i="13"/>
  <c r="F215" i="13"/>
  <c r="F216" i="13"/>
  <c r="F217" i="13"/>
  <c r="F218" i="13"/>
  <c r="F219" i="13"/>
  <c r="F220" i="13"/>
  <c r="F210" i="13"/>
  <c r="B221" i="13" a="1"/>
  <c r="B221" i="13" l="1"/>
  <c r="Q27" i="1"/>
  <c r="Q22" i="1"/>
  <c r="Q1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44" i="1" l="1"/>
  <c r="Q44" i="1"/>
  <c r="T43" i="1"/>
  <c r="Q43" i="1"/>
  <c r="T42" i="1"/>
  <c r="Q42" i="1"/>
  <c r="T41" i="1"/>
  <c r="Q41" i="1"/>
  <c r="T40" i="1"/>
  <c r="Q40" i="1"/>
  <c r="T39" i="1"/>
  <c r="Q39" i="1"/>
  <c r="AB40" i="1" s="1"/>
  <c r="H39" i="1"/>
  <c r="I39" i="1" s="1"/>
  <c r="T38" i="1"/>
  <c r="Q38" i="1"/>
  <c r="T37" i="1"/>
  <c r="Q37" i="1"/>
  <c r="T36" i="1"/>
  <c r="Q36" i="1"/>
  <c r="T35" i="1"/>
  <c r="Q35" i="1"/>
  <c r="T34" i="1"/>
  <c r="Q34" i="1"/>
  <c r="T33" i="1"/>
  <c r="Q33" i="1"/>
  <c r="H33" i="1"/>
  <c r="I33" i="1" s="1"/>
  <c r="T32" i="1"/>
  <c r="Q32" i="1"/>
  <c r="T31" i="1"/>
  <c r="Q31" i="1"/>
  <c r="T30" i="1"/>
  <c r="Q30" i="1"/>
  <c r="T29" i="1"/>
  <c r="Q29" i="1"/>
  <c r="T28" i="1"/>
  <c r="Q28" i="1"/>
  <c r="AB28" i="1" s="1"/>
  <c r="T27" i="1"/>
  <c r="H27" i="1"/>
  <c r="I27" i="1" s="1"/>
  <c r="T26" i="1"/>
  <c r="Q26" i="1"/>
  <c r="T25" i="1"/>
  <c r="Q25" i="1"/>
  <c r="T24" i="1"/>
  <c r="Q24" i="1"/>
  <c r="T23" i="1"/>
  <c r="Q23" i="1"/>
  <c r="T22" i="1"/>
  <c r="T21" i="1"/>
  <c r="Q21" i="1"/>
  <c r="AB22" i="1" s="1"/>
  <c r="H21" i="1"/>
  <c r="I21" i="1" s="1"/>
  <c r="T20" i="1"/>
  <c r="Q20" i="1"/>
  <c r="T19" i="1"/>
  <c r="Q19" i="1"/>
  <c r="T18" i="1"/>
  <c r="Q18" i="1"/>
  <c r="T17" i="1"/>
  <c r="Q17" i="1"/>
  <c r="T16" i="1"/>
  <c r="T15" i="1"/>
  <c r="Q15" i="1"/>
  <c r="AB16" i="1" s="1"/>
  <c r="H15" i="1"/>
  <c r="I15" i="1" s="1"/>
  <c r="T14" i="1"/>
  <c r="I14" i="1"/>
  <c r="T12" i="1"/>
  <c r="I12" i="1"/>
  <c r="T11" i="1"/>
  <c r="AB34" i="1" l="1"/>
  <c r="AB25" i="1"/>
  <c r="AA25" i="1" s="1"/>
  <c r="AB26" i="1"/>
  <c r="AA26" i="1" s="1"/>
  <c r="I11" i="1"/>
  <c r="X11" i="1" s="1"/>
  <c r="X39" i="1"/>
  <c r="X33" i="1"/>
  <c r="X27" i="1"/>
  <c r="X21" i="1"/>
  <c r="X25" i="1"/>
  <c r="X26" i="1"/>
  <c r="X15" i="1"/>
  <c r="X14" i="1"/>
  <c r="X12" i="1"/>
  <c r="Y39" i="1" l="1"/>
  <c r="Z39" i="1"/>
  <c r="X40" i="1" s="1"/>
  <c r="Y40" i="1" s="1"/>
  <c r="Y33" i="1"/>
  <c r="Z33" i="1"/>
  <c r="X34" i="1" s="1"/>
  <c r="Z34" i="1" s="1"/>
  <c r="X35" i="1" s="1"/>
  <c r="Y27" i="1"/>
  <c r="Z27" i="1"/>
  <c r="X28" i="1" s="1"/>
  <c r="Z28" i="1" s="1"/>
  <c r="X29" i="1" s="1"/>
  <c r="Y26" i="1"/>
  <c r="Z26" i="1"/>
  <c r="Y25" i="1"/>
  <c r="Z25" i="1"/>
  <c r="Y21" i="1"/>
  <c r="Z21" i="1"/>
  <c r="Y15" i="1"/>
  <c r="Z15" i="1"/>
  <c r="X16" i="1" s="1"/>
  <c r="Z16" i="1" s="1"/>
  <c r="X17" i="1" s="1"/>
  <c r="Y14" i="1"/>
  <c r="Z14" i="1"/>
  <c r="Y12" i="1"/>
  <c r="Z12" i="1"/>
  <c r="Y11" i="1"/>
  <c r="Z11" i="1"/>
  <c r="Y34" i="1" l="1"/>
  <c r="Y28" i="1"/>
  <c r="Y16" i="1"/>
  <c r="Y17" i="1"/>
  <c r="Z17" i="1"/>
  <c r="Z35" i="1"/>
  <c r="X36" i="1" s="1"/>
  <c r="Y35" i="1"/>
  <c r="Z29" i="1"/>
  <c r="X30" i="1" s="1"/>
  <c r="Y29" i="1"/>
  <c r="Z40" i="1"/>
  <c r="X41" i="1" s="1"/>
  <c r="X22" i="1"/>
  <c r="X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25" i="1"/>
  <c r="AC26" i="1"/>
  <c r="Y36" i="1" l="1"/>
  <c r="Z36" i="1"/>
  <c r="Y30" i="1"/>
  <c r="Z30" i="1"/>
  <c r="X31" i="1" s="1"/>
  <c r="Y23" i="1"/>
  <c r="Z23" i="1"/>
  <c r="X24" i="1" s="1"/>
  <c r="Y41" i="1"/>
  <c r="Z41" i="1"/>
  <c r="X42" i="1" s="1"/>
  <c r="Y22" i="1"/>
  <c r="Z22" i="1"/>
  <c r="X18" i="1"/>
  <c r="Y31" i="1" l="1"/>
  <c r="Z31" i="1"/>
  <c r="X32" i="1" s="1"/>
  <c r="X37" i="1"/>
  <c r="X38" i="1"/>
  <c r="Y18" i="1"/>
  <c r="Z18" i="1"/>
  <c r="X19" i="1" s="1"/>
  <c r="Y19" i="1" s="1"/>
  <c r="Y24" i="1"/>
  <c r="Z24" i="1"/>
  <c r="Z42" i="1"/>
  <c r="Y42" i="1"/>
  <c r="Y38" i="1" l="1"/>
  <c r="Z38" i="1"/>
  <c r="Y37" i="1"/>
  <c r="Z37" i="1"/>
  <c r="Y32" i="1"/>
  <c r="Z32" i="1"/>
  <c r="X43" i="1"/>
  <c r="X44" i="1"/>
  <c r="Z19" i="1"/>
  <c r="X20" i="1" s="1"/>
  <c r="Y20" i="1" s="1"/>
  <c r="X10" i="1"/>
  <c r="Y10" i="1" s="1"/>
  <c r="Y44" i="1" l="1"/>
  <c r="Z44" i="1"/>
  <c r="Y43" i="1"/>
  <c r="Z43" i="1"/>
  <c r="Z20" i="1"/>
  <c r="Z10" i="1" l="1"/>
  <c r="AB41" i="1" l="1"/>
  <c r="AB33" i="1"/>
  <c r="AB15" i="1"/>
  <c r="AA15" i="1" s="1"/>
  <c r="AB27" i="1"/>
  <c r="AA27" i="1" s="1"/>
  <c r="AB21" i="1"/>
  <c r="AA21" i="1" s="1"/>
  <c r="J11" i="19" l="1"/>
  <c r="V11" i="19"/>
  <c r="AB21" i="19"/>
  <c r="P31" i="19"/>
  <c r="J31" i="19"/>
  <c r="AB41" i="19"/>
  <c r="AC15" i="1"/>
  <c r="AH41" i="19"/>
  <c r="P41" i="19"/>
  <c r="J21" i="19"/>
  <c r="AB31" i="19"/>
  <c r="AB51" i="19"/>
  <c r="P21" i="19"/>
  <c r="V41" i="19"/>
  <c r="V31" i="19"/>
  <c r="AH21" i="19"/>
  <c r="AB11" i="19"/>
  <c r="P51" i="19"/>
  <c r="V21" i="19"/>
  <c r="AH31" i="19"/>
  <c r="V51" i="19"/>
  <c r="J51" i="19"/>
  <c r="AH51" i="19"/>
  <c r="AH11" i="19"/>
  <c r="J41" i="19"/>
  <c r="P11" i="19"/>
  <c r="AC2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33" i="1"/>
  <c r="AA4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41" i="1"/>
  <c r="AB42" i="1"/>
  <c r="AA16" i="1"/>
  <c r="AB17" i="1"/>
  <c r="AA17" i="1" s="1"/>
  <c r="AB18" i="1"/>
  <c r="V32" i="19"/>
  <c r="P42" i="19"/>
  <c r="J12" i="19"/>
  <c r="J32" i="19"/>
  <c r="AB52" i="19"/>
  <c r="AC21" i="1"/>
  <c r="J22" i="19"/>
  <c r="V22" i="19"/>
  <c r="J52" i="19"/>
  <c r="AH12" i="19"/>
  <c r="J42" i="19"/>
  <c r="AH42" i="19"/>
  <c r="P32" i="19"/>
  <c r="AB12" i="19"/>
  <c r="AH32" i="19"/>
  <c r="AB32" i="19"/>
  <c r="AB42" i="19"/>
  <c r="V42" i="19"/>
  <c r="V12" i="19"/>
  <c r="V52" i="19"/>
  <c r="AB22" i="19"/>
  <c r="AH52" i="19"/>
  <c r="AH22" i="19"/>
  <c r="P22" i="19"/>
  <c r="P12" i="19"/>
  <c r="P52" i="19"/>
  <c r="AB23" i="1"/>
  <c r="AA23" i="1" s="1"/>
  <c r="AB24" i="1"/>
  <c r="AA24" i="1" s="1"/>
  <c r="AA22" i="1"/>
  <c r="AA28" i="1"/>
  <c r="AB29" i="1"/>
  <c r="AA34" i="1"/>
  <c r="AB3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42" i="1"/>
  <c r="AB43" i="1"/>
  <c r="K35" i="19"/>
  <c r="AC25" i="19"/>
  <c r="K45" i="19"/>
  <c r="AI45" i="19"/>
  <c r="W45" i="19"/>
  <c r="Q35" i="19"/>
  <c r="K55" i="19"/>
  <c r="AC15" i="19"/>
  <c r="Q15" i="19"/>
  <c r="AC35" i="19"/>
  <c r="AI35" i="19"/>
  <c r="Q55" i="19"/>
  <c r="AI25" i="19"/>
  <c r="AC4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3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16" i="1"/>
  <c r="AD55" i="19"/>
  <c r="R15" i="19"/>
  <c r="AJ35" i="19"/>
  <c r="AC4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3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23" i="1"/>
  <c r="AD12" i="19"/>
  <c r="AD32" i="19"/>
  <c r="AD22" i="19"/>
  <c r="X52" i="19"/>
  <c r="AD52" i="19"/>
  <c r="L42" i="19"/>
  <c r="R42" i="19"/>
  <c r="AJ21" i="19"/>
  <c r="AD31" i="19"/>
  <c r="R21" i="19"/>
  <c r="AD41" i="19"/>
  <c r="AJ11" i="19"/>
  <c r="AJ51" i="19"/>
  <c r="AC17" i="1"/>
  <c r="L41" i="19"/>
  <c r="AD11" i="19"/>
  <c r="L21" i="19"/>
  <c r="L11" i="19"/>
  <c r="X51" i="19"/>
  <c r="X21" i="19"/>
  <c r="R11" i="19"/>
  <c r="R31" i="19"/>
  <c r="AJ41" i="19"/>
  <c r="L31" i="19"/>
  <c r="R51" i="19"/>
  <c r="X31" i="19"/>
  <c r="X11" i="19"/>
  <c r="X41" i="19"/>
  <c r="AJ31" i="19"/>
  <c r="AD51" i="19"/>
  <c r="R41" i="19"/>
  <c r="AD21" i="19"/>
  <c r="L51" i="19"/>
  <c r="AA29" i="1"/>
  <c r="AB30" i="1"/>
  <c r="K42" i="19"/>
  <c r="AC32" i="19"/>
  <c r="W42" i="19"/>
  <c r="AI52" i="19"/>
  <c r="K22" i="19"/>
  <c r="Q32" i="19"/>
  <c r="AI12" i="19"/>
  <c r="AC52" i="19"/>
  <c r="Q42" i="19"/>
  <c r="AC42" i="19"/>
  <c r="K12" i="19"/>
  <c r="Q22" i="19"/>
  <c r="W52" i="19"/>
  <c r="AI42" i="19"/>
  <c r="W32" i="19"/>
  <c r="AI22" i="19"/>
  <c r="W12" i="19"/>
  <c r="AI32" i="19"/>
  <c r="AC12" i="19"/>
  <c r="Q12" i="19"/>
  <c r="Q52" i="19"/>
  <c r="AC22"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35" i="1"/>
  <c r="AB3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28" i="1"/>
  <c r="Q33" i="19"/>
  <c r="AI23" i="19"/>
  <c r="K53" i="19"/>
  <c r="AC23" i="19"/>
  <c r="AC13" i="19"/>
  <c r="W23" i="19"/>
  <c r="W33" i="19"/>
  <c r="Q13" i="19"/>
  <c r="W13" i="19"/>
  <c r="AI13" i="19"/>
  <c r="Q43" i="19"/>
  <c r="Q23" i="19"/>
  <c r="W53" i="19"/>
  <c r="M12" i="19"/>
  <c r="AK42" i="19"/>
  <c r="AE32" i="19"/>
  <c r="AC24" i="1"/>
  <c r="M52" i="19"/>
  <c r="S12" i="19"/>
  <c r="M32" i="19"/>
  <c r="S52" i="19"/>
  <c r="Y52" i="19"/>
  <c r="Y42" i="19"/>
  <c r="AK12" i="19"/>
  <c r="S22" i="19"/>
  <c r="AE12" i="19"/>
  <c r="Y22" i="19"/>
  <c r="S32" i="19"/>
  <c r="AK52" i="19"/>
  <c r="M22" i="19"/>
  <c r="AK32" i="19"/>
  <c r="AE22" i="19"/>
  <c r="AE42" i="19"/>
  <c r="Y32" i="19"/>
  <c r="M42" i="19"/>
  <c r="Y12" i="19"/>
  <c r="AE52" i="19"/>
  <c r="AK22" i="19"/>
  <c r="S42" i="19"/>
  <c r="AA18" i="1"/>
  <c r="AB20" i="1"/>
  <c r="AA20" i="1" s="1"/>
  <c r="AB19" i="1"/>
  <c r="AA19" i="1" s="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30" i="1"/>
  <c r="AB31" i="1"/>
  <c r="AA43" i="1"/>
  <c r="AB44" i="1"/>
  <c r="AA4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29" i="1"/>
  <c r="X23" i="19"/>
  <c r="R33" i="19"/>
  <c r="R43" i="19"/>
  <c r="AD53" i="19"/>
  <c r="AJ13" i="19"/>
  <c r="R23" i="19"/>
  <c r="R13" i="19"/>
  <c r="AJ53" i="19"/>
  <c r="L33" i="19"/>
  <c r="L23" i="19"/>
  <c r="X43" i="19"/>
  <c r="X53" i="19"/>
  <c r="AD13" i="19"/>
  <c r="L53" i="19"/>
  <c r="L13" i="19"/>
  <c r="AD23" i="19"/>
  <c r="AJ33" i="19"/>
  <c r="AJ23" i="19"/>
  <c r="R53" i="19"/>
  <c r="M55" i="19"/>
  <c r="AK15" i="19"/>
  <c r="AE25" i="19"/>
  <c r="AC4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1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20" i="1"/>
  <c r="AG11" i="19"/>
  <c r="AM41" i="19"/>
  <c r="AA21" i="19"/>
  <c r="AA51" i="19"/>
  <c r="U51" i="19"/>
  <c r="U31" i="19"/>
  <c r="AA11" i="19"/>
  <c r="AG21" i="19"/>
  <c r="O31" i="19"/>
  <c r="AA36" i="1"/>
  <c r="AB37"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AC18" i="1"/>
  <c r="S41" i="19"/>
  <c r="AK11" i="19"/>
  <c r="S11" i="19"/>
  <c r="Y31" i="19"/>
  <c r="S21" i="19"/>
  <c r="M11" i="19"/>
  <c r="L54" i="19"/>
  <c r="AJ14" i="19"/>
  <c r="AD44" i="19"/>
  <c r="X54" i="19"/>
  <c r="R14" i="19"/>
  <c r="AD24" i="19"/>
  <c r="AD34" i="19"/>
  <c r="R54" i="19"/>
  <c r="L34" i="19"/>
  <c r="AJ34" i="19"/>
  <c r="X24" i="19"/>
  <c r="AJ24" i="19"/>
  <c r="X44" i="19"/>
  <c r="R24" i="19"/>
  <c r="AC35"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3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44"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4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31" i="1"/>
  <c r="AB32" i="1"/>
  <c r="AA3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37" i="1"/>
  <c r="AB38" i="1"/>
  <c r="AA3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3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38" i="1"/>
  <c r="AA14" i="19"/>
  <c r="O54" i="19"/>
  <c r="U44" i="19"/>
  <c r="U43" i="19"/>
  <c r="U13" i="19"/>
  <c r="AM53" i="19"/>
  <c r="AA53" i="19"/>
  <c r="AA43" i="19"/>
  <c r="O53" i="19"/>
  <c r="O23" i="19"/>
  <c r="O13" i="19"/>
  <c r="AG43" i="19"/>
  <c r="U33" i="19"/>
  <c r="U23" i="19"/>
  <c r="AM13" i="19"/>
  <c r="AM23" i="19"/>
  <c r="AG13" i="19"/>
  <c r="AA23" i="19"/>
  <c r="AG33" i="19"/>
  <c r="AA33" i="19"/>
  <c r="AM33" i="19"/>
  <c r="AA13" i="19"/>
  <c r="AC3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37" i="1"/>
  <c r="AF53" i="19"/>
  <c r="T43" i="19"/>
  <c r="Z53" i="19"/>
  <c r="N43" i="19"/>
  <c r="T23" i="19"/>
  <c r="AF43" i="19"/>
  <c r="Z13" i="19"/>
  <c r="Z43" i="19"/>
  <c r="AF23" i="19"/>
  <c r="AL13" i="19"/>
  <c r="Z23" i="19"/>
  <c r="AL43" i="19"/>
  <c r="AF13" i="19"/>
  <c r="AL23" i="19"/>
  <c r="N13" i="19"/>
  <c r="T33" i="19"/>
  <c r="AL53" i="19"/>
  <c r="N23" i="19"/>
  <c r="N53" i="19"/>
  <c r="AF33" i="19"/>
  <c r="N33" i="19"/>
  <c r="AC3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14" i="1"/>
  <c r="L32" i="18"/>
  <c r="X8" i="18"/>
  <c r="X24" i="18"/>
  <c r="AJ8" i="18"/>
  <c r="M14" i="1"/>
  <c r="AB14" i="1" s="1"/>
  <c r="AA14" i="1" s="1"/>
  <c r="R40" i="18"/>
  <c r="L40" i="18"/>
  <c r="X16" i="18"/>
  <c r="L24" i="18"/>
  <c r="AJ24" i="18"/>
  <c r="X32" i="18"/>
  <c r="AJ40" i="18"/>
  <c r="R16" i="18"/>
  <c r="AD40" i="18"/>
  <c r="AD32" i="18"/>
  <c r="AD16" i="18"/>
  <c r="T14" i="18"/>
  <c r="AL38" i="18"/>
  <c r="N14" i="18"/>
  <c r="Z6" i="18"/>
  <c r="T38" i="18"/>
  <c r="T22" i="18"/>
  <c r="AL14" i="18"/>
  <c r="N22" i="18"/>
  <c r="N12" i="1"/>
  <c r="AF22" i="18"/>
  <c r="N6" i="18"/>
  <c r="AF6" i="18"/>
  <c r="AF38" i="18"/>
  <c r="M12" i="1"/>
  <c r="AB12" i="1" s="1"/>
  <c r="AA12" i="1" s="1"/>
  <c r="N38" i="18"/>
  <c r="AL30" i="18"/>
  <c r="AL22" i="18"/>
  <c r="T6" i="18"/>
  <c r="AF14" i="18"/>
  <c r="AF30" i="18"/>
  <c r="Z22" i="18"/>
  <c r="T30" i="18"/>
  <c r="Z30" i="18"/>
  <c r="AL6" i="18"/>
  <c r="Z14" i="18"/>
  <c r="Z38" i="18"/>
  <c r="N30" i="18"/>
  <c r="J40" i="18"/>
  <c r="AB40" i="18"/>
  <c r="AH32" i="18"/>
  <c r="AB24" i="18"/>
  <c r="V16" i="18"/>
  <c r="J16" i="18"/>
  <c r="P32" i="18"/>
  <c r="V24" i="18"/>
  <c r="P24" i="18"/>
  <c r="V40" i="18"/>
  <c r="P16" i="18"/>
  <c r="P40" i="18"/>
  <c r="V32" i="18"/>
  <c r="AH16" i="18"/>
  <c r="AB16" i="18"/>
  <c r="V8" i="18"/>
  <c r="AH24" i="18"/>
  <c r="AH8" i="18"/>
  <c r="AH40" i="18"/>
  <c r="J8" i="18"/>
  <c r="AB32" i="18"/>
  <c r="AB8" i="18"/>
  <c r="J24" i="18"/>
  <c r="J32" i="18"/>
  <c r="P8" i="18"/>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J40" i="19" l="1"/>
  <c r="V20" i="19"/>
  <c r="J50" i="19"/>
  <c r="P50" i="19"/>
  <c r="J10" i="19"/>
  <c r="V10" i="19"/>
  <c r="V40" i="19"/>
  <c r="V30" i="19"/>
  <c r="AH10" i="19"/>
  <c r="AB40" i="19"/>
  <c r="AB10" i="19"/>
  <c r="AB20" i="19"/>
  <c r="P20" i="19"/>
  <c r="AB30" i="19"/>
  <c r="AB50" i="19"/>
  <c r="AH20" i="19"/>
  <c r="P10" i="19"/>
  <c r="P30" i="19"/>
  <c r="AH30" i="19"/>
  <c r="AH50" i="19"/>
  <c r="J20" i="19"/>
  <c r="J30" i="19"/>
  <c r="V50" i="19"/>
  <c r="AH40" i="19"/>
  <c r="AC14" i="1"/>
  <c r="P40" i="19"/>
  <c r="AH8" i="19"/>
  <c r="AB28" i="19"/>
  <c r="AB48" i="19"/>
  <c r="V38" i="19"/>
  <c r="V8" i="19"/>
  <c r="AH28" i="19"/>
  <c r="AH48" i="19"/>
  <c r="AB38" i="19"/>
  <c r="AH18" i="19"/>
  <c r="V48" i="19"/>
  <c r="V18" i="19"/>
  <c r="P8" i="19"/>
  <c r="J38" i="19"/>
  <c r="AC12" i="1"/>
  <c r="P18" i="19"/>
  <c r="P38" i="19"/>
  <c r="J28" i="19"/>
  <c r="AH38" i="19"/>
  <c r="J48" i="19"/>
  <c r="P48" i="19"/>
  <c r="V28" i="19"/>
  <c r="AB18" i="19"/>
  <c r="AB8" i="19"/>
  <c r="J8" i="19"/>
  <c r="P28" i="19"/>
  <c r="J18" i="19"/>
  <c r="J47" i="19"/>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K13" i="1" l="1"/>
  <c r="K15" i="1"/>
  <c r="L15" i="1" s="1"/>
  <c r="K21" i="1"/>
  <c r="L21" i="1" s="1"/>
  <c r="K33" i="1"/>
  <c r="L33" i="1" s="1"/>
  <c r="K14" i="1"/>
  <c r="K27" i="1"/>
  <c r="L27" i="1" s="1"/>
  <c r="K10" i="1"/>
  <c r="K11" i="1"/>
  <c r="K39" i="1"/>
  <c r="L39" i="1" s="1"/>
  <c r="K12" i="1"/>
  <c r="P34" i="18" l="1"/>
  <c r="P10" i="18"/>
  <c r="AH42" i="18"/>
  <c r="AB34" i="18"/>
  <c r="J10" i="18"/>
  <c r="P26" i="18"/>
  <c r="V18" i="18"/>
  <c r="J42" i="18"/>
  <c r="AB18" i="18"/>
  <c r="V34" i="18"/>
  <c r="AB26" i="18"/>
  <c r="V10" i="18"/>
  <c r="AB10" i="18"/>
  <c r="J26" i="18"/>
  <c r="M21" i="1"/>
  <c r="AB42" i="18"/>
  <c r="P42" i="18"/>
  <c r="AH26" i="18"/>
  <c r="AH18" i="18"/>
  <c r="J18" i="18"/>
  <c r="AH10" i="18"/>
  <c r="AH34" i="18"/>
  <c r="V42" i="18"/>
  <c r="V26" i="18"/>
  <c r="J34" i="18"/>
  <c r="N21" i="1"/>
  <c r="P18" i="18"/>
  <c r="AD26" i="18"/>
  <c r="X18" i="18"/>
  <c r="AJ10" i="18"/>
  <c r="M27" i="1"/>
  <c r="R34" i="18"/>
  <c r="R42" i="18"/>
  <c r="AD10" i="18"/>
  <c r="R18" i="18"/>
  <c r="AD18" i="18"/>
  <c r="N27" i="1"/>
  <c r="X42" i="18"/>
  <c r="L10" i="18"/>
  <c r="X34" i="18"/>
  <c r="AD42" i="18"/>
  <c r="L18" i="18"/>
  <c r="L34" i="18"/>
  <c r="X26" i="18"/>
  <c r="AD34" i="18"/>
  <c r="L42" i="18"/>
  <c r="X10" i="18"/>
  <c r="AJ34" i="18"/>
  <c r="AJ26" i="18"/>
  <c r="AJ42" i="18"/>
  <c r="AJ18" i="18"/>
  <c r="L26" i="18"/>
  <c r="R26" i="18"/>
  <c r="R10" i="18"/>
  <c r="M15" i="1"/>
  <c r="T8" i="18"/>
  <c r="Z32" i="18"/>
  <c r="AL40" i="18"/>
  <c r="T16" i="18"/>
  <c r="N40" i="18"/>
  <c r="AF24" i="18"/>
  <c r="Z40" i="18"/>
  <c r="Z16" i="18"/>
  <c r="N32" i="18"/>
  <c r="N8" i="18"/>
  <c r="AF40" i="18"/>
  <c r="Z24" i="18"/>
  <c r="AF8" i="18"/>
  <c r="T32" i="18"/>
  <c r="T40" i="18"/>
  <c r="AL24" i="18"/>
  <c r="AL32" i="18"/>
  <c r="AF32" i="18"/>
  <c r="AL8" i="18"/>
  <c r="T24" i="18"/>
  <c r="N16" i="18"/>
  <c r="N24" i="18"/>
  <c r="AF16" i="18"/>
  <c r="AL16" i="18"/>
  <c r="Z8" i="18"/>
  <c r="N15" i="1"/>
  <c r="Z42" i="18"/>
  <c r="N42" i="18"/>
  <c r="AF26" i="18"/>
  <c r="AF10" i="18"/>
  <c r="N10" i="18"/>
  <c r="M33" i="1"/>
  <c r="AL42" i="18"/>
  <c r="AL34" i="18"/>
  <c r="T18" i="18"/>
  <c r="Z18" i="18"/>
  <c r="Z10" i="18"/>
  <c r="T34" i="18"/>
  <c r="AF18" i="18"/>
  <c r="Z34" i="18"/>
  <c r="N34" i="18"/>
  <c r="AF42" i="18"/>
  <c r="AL26" i="18"/>
  <c r="AL18" i="18"/>
  <c r="N33" i="1"/>
  <c r="AF34" i="18"/>
  <c r="AL10" i="18"/>
  <c r="N18" i="18"/>
  <c r="N26" i="18"/>
  <c r="Z26" i="18"/>
  <c r="T10" i="18"/>
  <c r="T42" i="18"/>
  <c r="T26" i="18"/>
  <c r="J44" i="18"/>
  <c r="P12" i="18"/>
  <c r="P20" i="18"/>
  <c r="V44" i="18"/>
  <c r="V28" i="18"/>
  <c r="AH28" i="18"/>
  <c r="J12" i="18"/>
  <c r="AB28" i="18"/>
  <c r="AH20" i="18"/>
  <c r="J36" i="18"/>
  <c r="J28" i="18"/>
  <c r="AH44" i="18"/>
  <c r="V36" i="18"/>
  <c r="N39" i="1"/>
  <c r="V12" i="18"/>
  <c r="J20" i="18"/>
  <c r="AB12" i="18"/>
  <c r="AB36" i="18"/>
  <c r="AH12" i="18"/>
  <c r="P28" i="18"/>
  <c r="P44" i="18"/>
  <c r="P36" i="18"/>
  <c r="AH36" i="18"/>
  <c r="AB20" i="18"/>
  <c r="V20" i="18"/>
  <c r="AB44" i="18"/>
  <c r="M39" i="1"/>
  <c r="AB39" i="1" s="1"/>
  <c r="AA39" i="1" s="1"/>
  <c r="V25" i="19" l="1"/>
  <c r="AH25" i="19"/>
  <c r="P45" i="19"/>
  <c r="J25" i="19"/>
  <c r="J55" i="19"/>
  <c r="AH35" i="19"/>
  <c r="P35" i="19"/>
  <c r="AB45" i="19"/>
  <c r="P15" i="19"/>
  <c r="AH45" i="19"/>
  <c r="V35" i="19"/>
  <c r="P25" i="19"/>
  <c r="V45" i="19"/>
  <c r="AH55" i="19"/>
  <c r="V15" i="19"/>
  <c r="AB35" i="19"/>
  <c r="AB55" i="19"/>
  <c r="P55" i="19"/>
  <c r="V55" i="19"/>
  <c r="AB15" i="19"/>
  <c r="J35" i="19"/>
  <c r="AC39" i="1"/>
  <c r="AB25" i="19"/>
  <c r="J15" i="19"/>
  <c r="AH15" i="19"/>
  <c r="J4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<sst xmlns="http://schemas.openxmlformats.org/spreadsheetml/2006/main" count="403" uniqueCount="245">
  <si>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</si>
  <si>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</si>
  <si>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</si>
  <si>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</si>
  <si>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</si>
  <si>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</si>
  <si>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</si>
  <si>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</si>
  <si>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</si>
  <si>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</si>
  <si>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</si>
  <si>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</si>
  <si>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</si>
  <si>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</si>
  <si>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</si>
  <si>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</si>
  <si>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</si>
  <si>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</si>
  <si>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</si>
  <si>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</si>
  <si>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</si>
  <si>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</si>
  <si>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</si>
  <si>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</si>
  <si>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</si>
  <si>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</si>
  <si>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</si>
  <si>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</si>
  <si>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</si>
  <si>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</si>
  <si>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</si>
  <si>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</si>
  <si>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</si>
  <si>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</si>
  <si>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</si>
  <si>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</si>
  <si>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</si>
  <si>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</si>
  <si>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</si>
  <si>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</si>
  <si>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</si>
  <si>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</si>
  <si>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</si>
  <si>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</si>
  <si>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</si>
  <si>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</si>
  <si>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</si>
  <si>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</si>
  <si>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</si>
  <si>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</si>
  <si>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</si>
  <si>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</si>
  <si>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</si>
  <si>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</si>
  <si>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</si>
  <si>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</si>
  <si>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</si>
  <si>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</si>
  <si>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</si>
  <si>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</si>
  <si>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</si>
  <si>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</si>
  <si>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</si>
  <si>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</si>
  <si>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</si>
  <si>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</si>
  <si>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</si>
  <si>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</si>
  <si>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</si>
  <si>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</si>
  <si>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</si>
  <si>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</si>
  <si>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</si>
  <si>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</si>
  <si>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</si>
  <si>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</si>
  <si>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</si>
  <si>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</si>
  <si>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</si>
  <si>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</si>
  <si>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</si>
  <si>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</si>
  <si>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</si>
  <si>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</si>
  <si>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</si>
  <si>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</si>
  <si>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</si>
  <si>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</si>
  <si>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</si>
  <si>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</si>
  <si>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</si>
  <si>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</si>
  <si>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</si>
  <si>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</si>
  <si>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</si>
  <si>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</si>
  <si>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</si>
  <si>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</si>
  <si>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</si>
  <si>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</si>
  <si>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</si>
  <si>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</si>
  <si>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</si>
  <si>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</si>
  <si>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</si>
  <si>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</si>
  <si>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</si>
  <si>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</si>
  <si>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</si>
  <si>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</si>
  <si>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</si>
  <si>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</si>
  <si>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</si>
  <si>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</si>
  <si>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</si>
  <si>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</si>
  <si>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</si>
  <si>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</si>
  <si>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</si>
  <si>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</si>
  <si>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</si>
  <si>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</si>
  <si>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</si>
  <si>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</si>
  <si>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</si>
  <si>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</si>
  <si>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</si>
  <si>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</si>
  <si>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</si>
  <si>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</si>
  <si>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</si>
  <si>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</si>
  <si>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</si>
  <si>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</si>
  <si>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</si>
  <si>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</si>
  <si>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</si>
  <si>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</si>
  <si>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</si>
  <si>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</si>
  <si>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</si>
  <si>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</si>
  <si>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</si>
  <si>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</si>
  <si>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</si>
  <si>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</si>
  <si>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</si>
  <si>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</si>
  <si>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</si>
  <si>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</si>
  <si>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</si>
  <si>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</si>
  <si>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</si>
  <si>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</si>
  <si>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</si>
  <si>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</si>
  <si>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</si>
  <si>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</si>
  <si>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</si>
  <si>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</si>
  <si>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</si>
  <si>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</si>
  <si>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</si>
  <si>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</si>
  <si>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</si>
  <si>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</si>
  <si>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</si>
  <si>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</si>
  <si>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</si>
  <si>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</si>
  <si>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</si>
  <si>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</si>
  <si>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</si>
  <si>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</si>
  <si>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</si>
  <si>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</si>
  <si>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</si>
  <si>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</si>
  <si>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</si>
  <si>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</si>
  <si>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</si>
  <si>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</si>
  <si>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</si>
  <si>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</si>
  <si>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</si>
  <si>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</si>
  <si>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</si>
  <si>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</si>
  <si>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</si>
  <si>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</si>
  <si>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</si>
  <si>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</si>
  <si>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</si>
  <si>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</si>
  <si>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</si>
  <si>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</si>
  <si>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</si>
  <si>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</si>
  <si>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</si>
  <si>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</si>
  <si>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</si>
  <si>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</si>
  <si>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</si>
  <si>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</si>
  <si>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</si>
  <si>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</si>
  <si>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</si>
  <si>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</si>
  <si>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</si>
  <si>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</si>
  <si>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</si>
  <si>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</si>
  <si>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</si>
  <si>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</si>
  <si>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ATENCIÓN AL CIUDADANO</t>
  </si>
  <si>
    <t>Brindar atención con oportunidad y calidad desarrollando políticas de servicio que permitan satisfacer la demanda de los ciudadanos en trámites, servicios, Peticiones, Quejas, Reclamos y Sugerencias a través de los canales telefónico, virtual y presencial, verificando la percepción de la satisfacción ciudadana frente a la prestación de los mismos.</t>
  </si>
  <si>
    <t>Inicia con la planeación de las actividades y culmina con el seguimiento y evaluación del proceso</t>
  </si>
  <si>
    <t xml:space="preserve">• Carencia de un sistema de información automatizado que Lleve el control del radicado de la correspondencia recibida y despachada, así como el control de términos.                               DESCRIPCION                                          'La entidad no cuenta con un sistema de información para la recepción, trámite y seguimiento de las PQRS, se utiliza la hoja de cálculo de Excel </t>
  </si>
  <si>
    <t>No se han asignado recursos para la compra o creación del sistema de información.
Si bien es cierto, existe un formulario de captura en la página web para las PQRS, esté no se encuentra en servicio</t>
  </si>
  <si>
    <t>VIGENCIA</t>
  </si>
  <si>
    <t>MAYOR</t>
  </si>
  <si>
    <t>ALTA</t>
  </si>
  <si>
    <t>Se cuenta con una hoja de cálculo en excel, se lleva control manual de cada pqrs y de los tiempos en particular de derechos de petición o tutelas</t>
  </si>
  <si>
    <t>PROBABILIDAD</t>
  </si>
  <si>
    <t>Solicitar a los encargados de la página web. La habilitación del espacio de PQRS, asi como la generación de un radicado para el seguimeinto por parte del usuario y que esta información llege en linea al área encargada.</t>
  </si>
  <si>
    <t>Secretaria General - Profesional de apoyo de Gestión Tecnológica</t>
  </si>
  <si>
    <t>  Dificultades para realizar el seguimiento al estado de las PQRS que se encuentran en trámites.                                      DESCRIPCION                                                          'la entidad no cuenta con un sistema de alertas para el seguimiento y control de los PQR vigentes, se maneja de manera manual.</t>
  </si>
  <si>
    <t>No adquisición de un sistema de alerta para cada área de la entidad para el seguimiento de las PQR asignadas</t>
  </si>
  <si>
    <t>control por formato excel en seguimiento a cada una de las áreas encargadas</t>
  </si>
  <si>
    <t>diseño e implementacion de una herramienta tecnológica que genere alertas por las áreas para el control de los PQR</t>
  </si>
  <si>
    <t xml:space="preserve">•	Áreas físicas que no están totalmente acondicionadas para la atención a los diversos grupos poblacionales (discapacitados físicos, visuales, auditivos) tanto en recepción como servicios adicionales como baños.   DESCRIPCION                                          La Empresa no cuenta con areas físicas adecuadas para la movilizacion de personas con discapacidades. </t>
  </si>
  <si>
    <t>Infraestructura no adecuada para la adaptación de personas con discapacidad</t>
  </si>
  <si>
    <t>MEDIA</t>
  </si>
  <si>
    <t>MODERADO</t>
  </si>
  <si>
    <t xml:space="preserve">se cuenta con señalizaciones </t>
  </si>
  <si>
    <t>Adaptacion de las instaciones con elemtos adeacuados para personas en situacion de discapacidad</t>
  </si>
  <si>
    <t xml:space="preserve">No se cuenta con habilidades de un Lenguaje inclusivo                                          DESCRIPCION                                          Los funcionarios no cuentan con capacitación en lenguaje inclusivo   </t>
  </si>
  <si>
    <t>Falta de capacitación en lenguaje inclusivo</t>
  </si>
  <si>
    <t>Capacitación de personal en lenguaje inclusivo</t>
  </si>
  <si>
    <t>no exite control en esta categoria</t>
  </si>
  <si>
    <t>·         No se cuenta con los equipos tecnológicos necesarios para atender en el área (impresora, scanner)                        DESCRIPCION                                           'Dificultad en equipo tecnologico para realizar procesos de manera eficaz</t>
  </si>
  <si>
    <t xml:space="preserve">Equipos tecnologicos absoletos </t>
  </si>
  <si>
    <t>vinculacion de red impresora con la Secretaria General y Juridica</t>
  </si>
  <si>
    <t>asignacion de impresora y escaner propios para la gerencia con la finalidad de agilizar los procesos</t>
  </si>
  <si>
    <t>abril a Diciembre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</si>
</sst>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9"/>
      <name val="Arial"/>
      <family val="2"/>
    </font>
    <font>
      <sz val="11"/>
      <name val="Arial"/>
      <family val="2"/>
    </font>
    <font>
      <b/>
      <sz val="16"/>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48" fillId="3" borderId="34" xfId="0" quotePrefix="1" applyFont="1" applyFill="1" applyBorder="1" applyAlignment="1">
      <alignment horizontal="center" vertical="center" wrapText="1"/>
    </xf>
    <xf numFmtId="0" fontId="59" fillId="3" borderId="34" xfId="0" quotePrefix="1" applyFont="1" applyFill="1" applyBorder="1" applyAlignment="1">
      <alignment horizontal="center" vertical="center" wrapText="1"/>
    </xf>
    <xf numFmtId="0" fontId="60" fillId="3" borderId="34" xfId="0" applyFont="1" applyFill="1" applyBorder="1" applyAlignment="1">
      <alignment horizontal="center" vertical="center" wrapText="1"/>
    </xf>
    <xf numFmtId="0" fontId="60" fillId="3" borderId="34" xfId="0" quotePrefix="1" applyFont="1" applyFill="1" applyBorder="1" applyAlignment="1">
      <alignment horizontal="center" vertical="center" wrapText="1"/>
    </xf>
    <xf numFmtId="0" fontId="48" fillId="0" borderId="0" xfId="0" applyFont="1" applyAlignment="1">
      <alignment horizontal="center" vertical="center"/>
    </xf>
    <xf numFmtId="0" fontId="60" fillId="3" borderId="33" xfId="0" quotePrefix="1" applyFont="1" applyFill="1" applyBorder="1" applyAlignment="1">
      <alignment horizontal="center" vertical="center" wrapText="1"/>
    </xf>
    <xf numFmtId="0" fontId="48" fillId="0" borderId="33" xfId="0" applyFont="1" applyBorder="1" applyAlignment="1">
      <alignment horizontal="center"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61" fillId="0" borderId="35" xfId="0" applyFont="1" applyBorder="1" applyAlignment="1">
      <alignment horizontal="center" vertical="center"/>
    </xf>
    <xf numFmtId="0" fontId="61" fillId="0" borderId="36" xfId="0" applyFont="1" applyBorder="1" applyAlignment="1">
      <alignment horizontal="center" vertical="center"/>
    </xf>
    <xf numFmtId="0" fontId="61" fillId="0" borderId="47" xfId="0" applyFont="1" applyBorder="1" applyAlignment="1">
      <alignment horizontal="center" vertical="center"/>
    </xf>
    <xf numFmtId="0" fontId="1" fillId="3" borderId="0" xfId="0" applyFont="1" applyFill="1" applyAlignment="1">
      <alignment horizontal="left" vertical="center"/>
    </xf>
    <xf numFmtId="0" fontId="48" fillId="0" borderId="35" xfId="0" applyFont="1" applyBorder="1" applyAlignment="1">
      <alignment horizontal="left" vertical="center" wrapText="1"/>
    </xf>
    <xf numFmtId="0" fontId="48" fillId="0" borderId="36" xfId="0" applyFont="1" applyBorder="1" applyAlignment="1">
      <alignment horizontal="left" vertical="center" wrapText="1"/>
    </xf>
    <xf numFmtId="0" fontId="48" fillId="0" borderId="47" xfId="0" applyFont="1" applyBorder="1" applyAlignment="1">
      <alignment horizontal="left" vertical="center"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color rgb="FF9C0006"/>
      </font>
      <fill>
        <patternFill>
          <bgColor rgb="FFFFC7CE"/>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201724</xdr:colOff>
      <xdr:row>2</xdr:row>
      <xdr:rowOff>103754</xdr:rowOff>
    </xdr:from>
    <xdr:to>
      <xdr:col>22</xdr:col>
      <xdr:colOff>13267</xdr:colOff>
      <xdr:row>5</xdr:row>
      <xdr:rowOff>419440</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0130" y="627629"/>
          <a:ext cx="1895137" cy="12443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69" t="s">
        <v>166</v>
      </c>
      <c r="C2" s="170"/>
      <c r="D2" s="170"/>
      <c r="E2" s="170"/>
      <c r="F2" s="170"/>
      <c r="G2" s="170"/>
      <c r="H2" s="171"/>
    </row>
    <row r="3" spans="2:8" x14ac:dyDescent="0.25">
      <c r="B3" s="84"/>
      <c r="C3" s="85"/>
      <c r="D3" s="85"/>
      <c r="E3" s="85"/>
      <c r="F3" s="85"/>
      <c r="G3" s="85"/>
      <c r="H3" s="86"/>
    </row>
    <row r="4" spans="2:8" ht="63" customHeight="1" x14ac:dyDescent="0.25">
      <c r="B4" s="172" t="s">
        <v>209</v>
      </c>
      <c r="C4" s="173"/>
      <c r="D4" s="173"/>
      <c r="E4" s="173"/>
      <c r="F4" s="173"/>
      <c r="G4" s="173"/>
      <c r="H4" s="174"/>
    </row>
    <row r="5" spans="2:8" ht="63" customHeight="1" x14ac:dyDescent="0.25">
      <c r="B5" s="175"/>
      <c r="C5" s="176"/>
      <c r="D5" s="176"/>
      <c r="E5" s="176"/>
      <c r="F5" s="176"/>
      <c r="G5" s="176"/>
      <c r="H5" s="177"/>
    </row>
    <row r="6" spans="2:8" ht="16.5" x14ac:dyDescent="0.25">
      <c r="B6" s="178" t="s">
        <v>164</v>
      </c>
      <c r="C6" s="179"/>
      <c r="D6" s="179"/>
      <c r="E6" s="179"/>
      <c r="F6" s="179"/>
      <c r="G6" s="179"/>
      <c r="H6" s="180"/>
    </row>
    <row r="7" spans="2:8" ht="95.25" customHeight="1" x14ac:dyDescent="0.25">
      <c r="B7" s="188" t="s">
        <v>169</v>
      </c>
      <c r="C7" s="189"/>
      <c r="D7" s="189"/>
      <c r="E7" s="189"/>
      <c r="F7" s="189"/>
      <c r="G7" s="189"/>
      <c r="H7" s="190"/>
    </row>
    <row r="8" spans="2:8" ht="16.5" x14ac:dyDescent="0.25">
      <c r="B8" s="120"/>
      <c r="C8" s="121"/>
      <c r="D8" s="121"/>
      <c r="E8" s="121"/>
      <c r="F8" s="121"/>
      <c r="G8" s="121"/>
      <c r="H8" s="122"/>
    </row>
    <row r="9" spans="2:8" ht="16.5" customHeight="1" x14ac:dyDescent="0.25">
      <c r="B9" s="181" t="s">
        <v>202</v>
      </c>
      <c r="C9" s="182"/>
      <c r="D9" s="182"/>
      <c r="E9" s="182"/>
      <c r="F9" s="182"/>
      <c r="G9" s="182"/>
      <c r="H9" s="183"/>
    </row>
    <row r="10" spans="2:8" ht="44.25" customHeight="1" x14ac:dyDescent="0.25">
      <c r="B10" s="181"/>
      <c r="C10" s="182"/>
      <c r="D10" s="182"/>
      <c r="E10" s="182"/>
      <c r="F10" s="182"/>
      <c r="G10" s="182"/>
      <c r="H10" s="183"/>
    </row>
    <row r="11" spans="2:8" ht="15.75" thickBot="1" x14ac:dyDescent="0.3">
      <c r="B11" s="109"/>
      <c r="C11" s="112"/>
      <c r="D11" s="117"/>
      <c r="E11" s="118"/>
      <c r="F11" s="118"/>
      <c r="G11" s="119"/>
      <c r="H11" s="113"/>
    </row>
    <row r="12" spans="2:8" ht="15.75" thickTop="1" x14ac:dyDescent="0.25">
      <c r="B12" s="109"/>
      <c r="C12" s="184" t="s">
        <v>165</v>
      </c>
      <c r="D12" s="185"/>
      <c r="E12" s="186" t="s">
        <v>203</v>
      </c>
      <c r="F12" s="187"/>
      <c r="G12" s="112"/>
      <c r="H12" s="113"/>
    </row>
    <row r="13" spans="2:8" ht="35.25" customHeight="1" x14ac:dyDescent="0.25">
      <c r="B13" s="109"/>
      <c r="C13" s="156" t="s">
        <v>196</v>
      </c>
      <c r="D13" s="157"/>
      <c r="E13" s="158" t="s">
        <v>201</v>
      </c>
      <c r="F13" s="159"/>
      <c r="G13" s="112"/>
      <c r="H13" s="113"/>
    </row>
    <row r="14" spans="2:8" ht="17.25" customHeight="1" x14ac:dyDescent="0.25">
      <c r="B14" s="109"/>
      <c r="C14" s="156" t="s">
        <v>197</v>
      </c>
      <c r="D14" s="157"/>
      <c r="E14" s="158" t="s">
        <v>199</v>
      </c>
      <c r="F14" s="159"/>
      <c r="G14" s="112"/>
      <c r="H14" s="113"/>
    </row>
    <row r="15" spans="2:8" ht="19.5" customHeight="1" x14ac:dyDescent="0.25">
      <c r="B15" s="109"/>
      <c r="C15" s="156" t="s">
        <v>198</v>
      </c>
      <c r="D15" s="157"/>
      <c r="E15" s="158" t="s">
        <v>200</v>
      </c>
      <c r="F15" s="159"/>
      <c r="G15" s="112"/>
      <c r="H15" s="113"/>
    </row>
    <row r="16" spans="2:8" ht="69.75" customHeight="1" x14ac:dyDescent="0.25">
      <c r="B16" s="109"/>
      <c r="C16" s="156" t="s">
        <v>167</v>
      </c>
      <c r="D16" s="157"/>
      <c r="E16" s="158" t="s">
        <v>168</v>
      </c>
      <c r="F16" s="159"/>
      <c r="G16" s="112"/>
      <c r="H16" s="113"/>
    </row>
    <row r="17" spans="2:8" ht="34.5" customHeight="1" x14ac:dyDescent="0.25">
      <c r="B17" s="109"/>
      <c r="C17" s="160" t="s">
        <v>2</v>
      </c>
      <c r="D17" s="161"/>
      <c r="E17" s="152" t="s">
        <v>210</v>
      </c>
      <c r="F17" s="153"/>
      <c r="G17" s="112"/>
      <c r="H17" s="113"/>
    </row>
    <row r="18" spans="2:8" ht="27.75" customHeight="1" x14ac:dyDescent="0.25">
      <c r="B18" s="109"/>
      <c r="C18" s="160" t="s">
        <v>3</v>
      </c>
      <c r="D18" s="161"/>
      <c r="E18" s="152" t="s">
        <v>211</v>
      </c>
      <c r="F18" s="153"/>
      <c r="G18" s="112"/>
      <c r="H18" s="113"/>
    </row>
    <row r="19" spans="2:8" ht="28.5" customHeight="1" x14ac:dyDescent="0.25">
      <c r="B19" s="109"/>
      <c r="C19" s="160" t="s">
        <v>42</v>
      </c>
      <c r="D19" s="161"/>
      <c r="E19" s="152" t="s">
        <v>212</v>
      </c>
      <c r="F19" s="153"/>
      <c r="G19" s="112"/>
      <c r="H19" s="113"/>
    </row>
    <row r="20" spans="2:8" ht="72.75" customHeight="1" x14ac:dyDescent="0.25">
      <c r="B20" s="109"/>
      <c r="C20" s="160" t="s">
        <v>1</v>
      </c>
      <c r="D20" s="161"/>
      <c r="E20" s="152" t="s">
        <v>213</v>
      </c>
      <c r="F20" s="153"/>
      <c r="G20" s="112"/>
      <c r="H20" s="113"/>
    </row>
    <row r="21" spans="2:8" ht="64.5" customHeight="1" x14ac:dyDescent="0.25">
      <c r="B21" s="109"/>
      <c r="C21" s="160" t="s">
        <v>50</v>
      </c>
      <c r="D21" s="161"/>
      <c r="E21" s="152" t="s">
        <v>171</v>
      </c>
      <c r="F21" s="153"/>
      <c r="G21" s="112"/>
      <c r="H21" s="113"/>
    </row>
    <row r="22" spans="2:8" ht="71.25" customHeight="1" x14ac:dyDescent="0.25">
      <c r="B22" s="109"/>
      <c r="C22" s="160" t="s">
        <v>170</v>
      </c>
      <c r="D22" s="161"/>
      <c r="E22" s="152" t="s">
        <v>172</v>
      </c>
      <c r="F22" s="153"/>
      <c r="G22" s="112"/>
      <c r="H22" s="113"/>
    </row>
    <row r="23" spans="2:8" ht="55.5" customHeight="1" x14ac:dyDescent="0.25">
      <c r="B23" s="109"/>
      <c r="C23" s="154" t="s">
        <v>173</v>
      </c>
      <c r="D23" s="155"/>
      <c r="E23" s="152" t="s">
        <v>174</v>
      </c>
      <c r="F23" s="153"/>
      <c r="G23" s="112"/>
      <c r="H23" s="113"/>
    </row>
    <row r="24" spans="2:8" ht="42" customHeight="1" x14ac:dyDescent="0.25">
      <c r="B24" s="109"/>
      <c r="C24" s="154" t="s">
        <v>48</v>
      </c>
      <c r="D24" s="155"/>
      <c r="E24" s="152" t="s">
        <v>175</v>
      </c>
      <c r="F24" s="153"/>
      <c r="G24" s="112"/>
      <c r="H24" s="113"/>
    </row>
    <row r="25" spans="2:8" ht="59.25" customHeight="1" x14ac:dyDescent="0.25">
      <c r="B25" s="109"/>
      <c r="C25" s="154" t="s">
        <v>163</v>
      </c>
      <c r="D25" s="155"/>
      <c r="E25" s="152" t="s">
        <v>176</v>
      </c>
      <c r="F25" s="153"/>
      <c r="G25" s="112"/>
      <c r="H25" s="113"/>
    </row>
    <row r="26" spans="2:8" ht="23.25" customHeight="1" x14ac:dyDescent="0.25">
      <c r="B26" s="109"/>
      <c r="C26" s="154" t="s">
        <v>12</v>
      </c>
      <c r="D26" s="155"/>
      <c r="E26" s="152" t="s">
        <v>177</v>
      </c>
      <c r="F26" s="153"/>
      <c r="G26" s="112"/>
      <c r="H26" s="113"/>
    </row>
    <row r="27" spans="2:8" ht="30.75" customHeight="1" x14ac:dyDescent="0.25">
      <c r="B27" s="109"/>
      <c r="C27" s="154" t="s">
        <v>181</v>
      </c>
      <c r="D27" s="155"/>
      <c r="E27" s="152" t="s">
        <v>178</v>
      </c>
      <c r="F27" s="153"/>
      <c r="G27" s="112"/>
      <c r="H27" s="113"/>
    </row>
    <row r="28" spans="2:8" ht="35.25" customHeight="1" x14ac:dyDescent="0.25">
      <c r="B28" s="109"/>
      <c r="C28" s="154" t="s">
        <v>182</v>
      </c>
      <c r="D28" s="155"/>
      <c r="E28" s="152" t="s">
        <v>179</v>
      </c>
      <c r="F28" s="153"/>
      <c r="G28" s="112"/>
      <c r="H28" s="113"/>
    </row>
    <row r="29" spans="2:8" ht="33" customHeight="1" x14ac:dyDescent="0.25">
      <c r="B29" s="109"/>
      <c r="C29" s="154" t="s">
        <v>182</v>
      </c>
      <c r="D29" s="155"/>
      <c r="E29" s="152" t="s">
        <v>179</v>
      </c>
      <c r="F29" s="153"/>
      <c r="G29" s="112"/>
      <c r="H29" s="113"/>
    </row>
    <row r="30" spans="2:8" ht="30" customHeight="1" x14ac:dyDescent="0.25">
      <c r="B30" s="109"/>
      <c r="C30" s="154" t="s">
        <v>183</v>
      </c>
      <c r="D30" s="155"/>
      <c r="E30" s="152" t="s">
        <v>180</v>
      </c>
      <c r="F30" s="153"/>
      <c r="G30" s="112"/>
      <c r="H30" s="113"/>
    </row>
    <row r="31" spans="2:8" ht="35.25" customHeight="1" x14ac:dyDescent="0.25">
      <c r="B31" s="109"/>
      <c r="C31" s="154" t="s">
        <v>184</v>
      </c>
      <c r="D31" s="155"/>
      <c r="E31" s="152" t="s">
        <v>185</v>
      </c>
      <c r="F31" s="153"/>
      <c r="G31" s="112"/>
      <c r="H31" s="113"/>
    </row>
    <row r="32" spans="2:8" ht="31.5" customHeight="1" x14ac:dyDescent="0.25">
      <c r="B32" s="109"/>
      <c r="C32" s="154" t="s">
        <v>186</v>
      </c>
      <c r="D32" s="155"/>
      <c r="E32" s="152" t="s">
        <v>187</v>
      </c>
      <c r="F32" s="153"/>
      <c r="G32" s="112"/>
      <c r="H32" s="113"/>
    </row>
    <row r="33" spans="2:8" ht="35.25" customHeight="1" x14ac:dyDescent="0.25">
      <c r="B33" s="109"/>
      <c r="C33" s="154" t="s">
        <v>188</v>
      </c>
      <c r="D33" s="155"/>
      <c r="E33" s="152" t="s">
        <v>189</v>
      </c>
      <c r="F33" s="153"/>
      <c r="G33" s="112"/>
      <c r="H33" s="113"/>
    </row>
    <row r="34" spans="2:8" ht="59.25" customHeight="1" x14ac:dyDescent="0.25">
      <c r="B34" s="109"/>
      <c r="C34" s="154" t="s">
        <v>190</v>
      </c>
      <c r="D34" s="155"/>
      <c r="E34" s="152" t="s">
        <v>191</v>
      </c>
      <c r="F34" s="153"/>
      <c r="G34" s="112"/>
      <c r="H34" s="113"/>
    </row>
    <row r="35" spans="2:8" ht="29.25" customHeight="1" x14ac:dyDescent="0.25">
      <c r="B35" s="109"/>
      <c r="C35" s="154" t="s">
        <v>29</v>
      </c>
      <c r="D35" s="155"/>
      <c r="E35" s="152" t="s">
        <v>192</v>
      </c>
      <c r="F35" s="153"/>
      <c r="G35" s="112"/>
      <c r="H35" s="113"/>
    </row>
    <row r="36" spans="2:8" ht="82.5" customHeight="1" x14ac:dyDescent="0.25">
      <c r="B36" s="109"/>
      <c r="C36" s="154" t="s">
        <v>194</v>
      </c>
      <c r="D36" s="155"/>
      <c r="E36" s="152" t="s">
        <v>193</v>
      </c>
      <c r="F36" s="153"/>
      <c r="G36" s="112"/>
      <c r="H36" s="113"/>
    </row>
    <row r="37" spans="2:8" ht="46.5" customHeight="1" x14ac:dyDescent="0.25">
      <c r="B37" s="109"/>
      <c r="C37" s="154" t="s">
        <v>39</v>
      </c>
      <c r="D37" s="155"/>
      <c r="E37" s="152" t="s">
        <v>195</v>
      </c>
      <c r="F37" s="153"/>
      <c r="G37" s="112"/>
      <c r="H37" s="113"/>
    </row>
    <row r="38" spans="2:8" ht="6.75" customHeight="1" thickBot="1" x14ac:dyDescent="0.3">
      <c r="B38" s="109"/>
      <c r="C38" s="165"/>
      <c r="D38" s="166"/>
      <c r="E38" s="167"/>
      <c r="F38" s="168"/>
      <c r="G38" s="112"/>
      <c r="H38" s="113"/>
    </row>
    <row r="39" spans="2:8" ht="15.75" thickTop="1" x14ac:dyDescent="0.25">
      <c r="B39" s="109"/>
      <c r="C39" s="110"/>
      <c r="D39" s="110"/>
      <c r="E39" s="111"/>
      <c r="F39" s="111"/>
      <c r="G39" s="112"/>
      <c r="H39" s="113"/>
    </row>
    <row r="40" spans="2:8" ht="21" customHeight="1" x14ac:dyDescent="0.25">
      <c r="B40" s="162" t="s">
        <v>204</v>
      </c>
      <c r="C40" s="163"/>
      <c r="D40" s="163"/>
      <c r="E40" s="163"/>
      <c r="F40" s="163"/>
      <c r="G40" s="163"/>
      <c r="H40" s="164"/>
    </row>
    <row r="41" spans="2:8" ht="20.25" customHeight="1" x14ac:dyDescent="0.25">
      <c r="B41" s="162" t="s">
        <v>205</v>
      </c>
      <c r="C41" s="163"/>
      <c r="D41" s="163"/>
      <c r="E41" s="163"/>
      <c r="F41" s="163"/>
      <c r="G41" s="163"/>
      <c r="H41" s="164"/>
    </row>
    <row r="42" spans="2:8" ht="20.25" customHeight="1" x14ac:dyDescent="0.25">
      <c r="B42" s="162" t="s">
        <v>206</v>
      </c>
      <c r="C42" s="163"/>
      <c r="D42" s="163"/>
      <c r="E42" s="163"/>
      <c r="F42" s="163"/>
      <c r="G42" s="163"/>
      <c r="H42" s="164"/>
    </row>
    <row r="43" spans="2:8" ht="20.25" customHeight="1" x14ac:dyDescent="0.25">
      <c r="B43" s="162" t="s">
        <v>207</v>
      </c>
      <c r="C43" s="163"/>
      <c r="D43" s="163"/>
      <c r="E43" s="163"/>
      <c r="F43" s="163"/>
      <c r="G43" s="163"/>
      <c r="H43" s="164"/>
    </row>
    <row r="44" spans="2:8" x14ac:dyDescent="0.25">
      <c r="B44" s="162" t="s">
        <v>208</v>
      </c>
      <c r="C44" s="163"/>
      <c r="D44" s="163"/>
      <c r="E44" s="163"/>
      <c r="F44" s="163"/>
      <c r="G44" s="163"/>
      <c r="H44" s="164"/>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47"/>
  <sheetViews>
    <sheetView tabSelected="1" topLeftCell="L11" zoomScaleNormal="100" workbookViewId="0">
      <selection activeCell="AG12" sqref="AG12:AG1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9" style="2" customWidth="1"/>
    <col min="5" max="5" width="36.855468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91" t="s">
        <v>144</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94"/>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ht="17.25" thickBot="1"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27" t="s">
        <v>43</v>
      </c>
      <c r="B4" s="228"/>
      <c r="C4" s="236" t="s">
        <v>214</v>
      </c>
      <c r="D4" s="237"/>
      <c r="E4" s="237"/>
      <c r="F4" s="237"/>
      <c r="G4" s="237"/>
      <c r="H4" s="237"/>
      <c r="I4" s="237"/>
      <c r="J4" s="237"/>
      <c r="K4" s="237"/>
      <c r="L4" s="237"/>
      <c r="M4" s="237"/>
      <c r="N4" s="238"/>
      <c r="O4" s="239"/>
      <c r="P4" s="239"/>
      <c r="Q4" s="239"/>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27" t="s">
        <v>130</v>
      </c>
      <c r="B5" s="228"/>
      <c r="C5" s="240" t="s">
        <v>215</v>
      </c>
      <c r="D5" s="241"/>
      <c r="E5" s="241"/>
      <c r="F5" s="241"/>
      <c r="G5" s="241"/>
      <c r="H5" s="241"/>
      <c r="I5" s="241"/>
      <c r="J5" s="241"/>
      <c r="K5" s="241"/>
      <c r="L5" s="241"/>
      <c r="M5" s="241"/>
      <c r="N5" s="241"/>
      <c r="O5" s="241"/>
      <c r="P5" s="241"/>
      <c r="Q5" s="242"/>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7" t="s">
        <v>44</v>
      </c>
      <c r="B6" s="228"/>
      <c r="C6" s="250" t="s">
        <v>216</v>
      </c>
      <c r="D6" s="251"/>
      <c r="E6" s="251"/>
      <c r="F6" s="251"/>
      <c r="G6" s="251"/>
      <c r="H6" s="251"/>
      <c r="I6" s="251"/>
      <c r="J6" s="251"/>
      <c r="K6" s="251"/>
      <c r="L6" s="251"/>
      <c r="M6" s="251"/>
      <c r="N6" s="25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7" t="s">
        <v>139</v>
      </c>
      <c r="B7" s="198"/>
      <c r="C7" s="198"/>
      <c r="D7" s="198"/>
      <c r="E7" s="198"/>
      <c r="F7" s="198"/>
      <c r="G7" s="199"/>
      <c r="H7" s="197" t="s">
        <v>140</v>
      </c>
      <c r="I7" s="198"/>
      <c r="J7" s="198"/>
      <c r="K7" s="198"/>
      <c r="L7" s="198"/>
      <c r="M7" s="198"/>
      <c r="N7" s="199"/>
      <c r="O7" s="197" t="s">
        <v>141</v>
      </c>
      <c r="P7" s="198"/>
      <c r="Q7" s="198"/>
      <c r="R7" s="198"/>
      <c r="S7" s="198"/>
      <c r="T7" s="198"/>
      <c r="U7" s="198"/>
      <c r="V7" s="198"/>
      <c r="W7" s="199"/>
      <c r="X7" s="197" t="s">
        <v>142</v>
      </c>
      <c r="Y7" s="198"/>
      <c r="Z7" s="198"/>
      <c r="AA7" s="198"/>
      <c r="AB7" s="198"/>
      <c r="AC7" s="198"/>
      <c r="AD7" s="199"/>
      <c r="AE7" s="197" t="s">
        <v>34</v>
      </c>
      <c r="AF7" s="198"/>
      <c r="AG7" s="198"/>
      <c r="AH7" s="198"/>
      <c r="AI7" s="198"/>
      <c r="AJ7" s="19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9" t="s">
        <v>0</v>
      </c>
      <c r="B8" s="234" t="s">
        <v>2</v>
      </c>
      <c r="C8" s="232" t="s">
        <v>3</v>
      </c>
      <c r="D8" s="232" t="s">
        <v>42</v>
      </c>
      <c r="E8" s="233" t="s">
        <v>1</v>
      </c>
      <c r="F8" s="231" t="s">
        <v>50</v>
      </c>
      <c r="G8" s="232" t="s">
        <v>135</v>
      </c>
      <c r="H8" s="244" t="s">
        <v>33</v>
      </c>
      <c r="I8" s="245" t="s">
        <v>5</v>
      </c>
      <c r="J8" s="231" t="s">
        <v>87</v>
      </c>
      <c r="K8" s="231" t="s">
        <v>92</v>
      </c>
      <c r="L8" s="247" t="s">
        <v>45</v>
      </c>
      <c r="M8" s="245" t="s">
        <v>5</v>
      </c>
      <c r="N8" s="232" t="s">
        <v>48</v>
      </c>
      <c r="O8" s="248" t="s">
        <v>11</v>
      </c>
      <c r="P8" s="235" t="s">
        <v>163</v>
      </c>
      <c r="Q8" s="231" t="s">
        <v>12</v>
      </c>
      <c r="R8" s="235" t="s">
        <v>8</v>
      </c>
      <c r="S8" s="235"/>
      <c r="T8" s="235"/>
      <c r="U8" s="235"/>
      <c r="V8" s="235"/>
      <c r="W8" s="235"/>
      <c r="X8" s="243" t="s">
        <v>138</v>
      </c>
      <c r="Y8" s="243" t="s">
        <v>46</v>
      </c>
      <c r="Z8" s="243" t="s">
        <v>5</v>
      </c>
      <c r="AA8" s="243" t="s">
        <v>47</v>
      </c>
      <c r="AB8" s="243" t="s">
        <v>5</v>
      </c>
      <c r="AC8" s="243" t="s">
        <v>49</v>
      </c>
      <c r="AD8" s="248" t="s">
        <v>29</v>
      </c>
      <c r="AE8" s="235" t="s">
        <v>34</v>
      </c>
      <c r="AF8" s="235" t="s">
        <v>35</v>
      </c>
      <c r="AG8" s="235" t="s">
        <v>36</v>
      </c>
      <c r="AH8" s="235" t="s">
        <v>38</v>
      </c>
      <c r="AI8" s="235" t="s">
        <v>37</v>
      </c>
      <c r="AJ8" s="23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30"/>
      <c r="B9" s="234"/>
      <c r="C9" s="235"/>
      <c r="D9" s="235"/>
      <c r="E9" s="234"/>
      <c r="F9" s="232"/>
      <c r="G9" s="235"/>
      <c r="H9" s="232"/>
      <c r="I9" s="246"/>
      <c r="J9" s="232"/>
      <c r="K9" s="232"/>
      <c r="L9" s="246"/>
      <c r="M9" s="246"/>
      <c r="N9" s="235"/>
      <c r="O9" s="249"/>
      <c r="P9" s="235"/>
      <c r="Q9" s="232"/>
      <c r="R9" s="7" t="s">
        <v>13</v>
      </c>
      <c r="S9" s="7" t="s">
        <v>17</v>
      </c>
      <c r="T9" s="7" t="s">
        <v>28</v>
      </c>
      <c r="U9" s="7" t="s">
        <v>18</v>
      </c>
      <c r="V9" s="7" t="s">
        <v>21</v>
      </c>
      <c r="W9" s="7" t="s">
        <v>24</v>
      </c>
      <c r="X9" s="243"/>
      <c r="Y9" s="243"/>
      <c r="Z9" s="243"/>
      <c r="AA9" s="243"/>
      <c r="AB9" s="243"/>
      <c r="AC9" s="243"/>
      <c r="AD9" s="249"/>
      <c r="AE9" s="235"/>
      <c r="AF9" s="235"/>
      <c r="AG9" s="235"/>
      <c r="AH9" s="235"/>
      <c r="AI9" s="235"/>
      <c r="AJ9" s="23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5.75" customHeight="1" x14ac:dyDescent="0.25">
      <c r="A10" s="140">
        <v>1</v>
      </c>
      <c r="B10" s="137" t="s">
        <v>132</v>
      </c>
      <c r="C10" s="137"/>
      <c r="D10" s="137" t="s">
        <v>218</v>
      </c>
      <c r="E10" s="141" t="s">
        <v>217</v>
      </c>
      <c r="F10" s="137" t="s">
        <v>123</v>
      </c>
      <c r="G10" s="138" t="s">
        <v>219</v>
      </c>
      <c r="H10" s="139" t="s">
        <v>221</v>
      </c>
      <c r="I10" s="143">
        <f t="shared" ref="I10:I15" si="0">IF(H10="","",IF(H10="Muy Baja",0.2,IF(H10="Baja",0.4,IF(H10="Media",0.6,IF(H10="Alta",0.8,IF(H10="Muy Alta",1,))))))</f>
        <v>0.8</v>
      </c>
      <c r="J10" s="144" t="s">
        <v>57</v>
      </c>
      <c r="K10" s="143" t="str">
        <f>IF(NOT(ISERROR(MATCH(J10,'Tabla Impacto'!$B$221:$B$223,0))),'Tabla Impacto'!$F$223&amp;"Por favor no seleccionar los criterios de impacto(Afectación Económica o presupuestal y Pérdida Reputacional)",J10)</f>
        <v>❌Por favor no seleccionar los criterios de impacto(Afectación Económica o presupuestal y Pérdida Reputacional)</v>
      </c>
      <c r="L10" s="139" t="s">
        <v>220</v>
      </c>
      <c r="M10" s="143">
        <f t="shared" ref="M10:M15" si="1">IF(L10="","",IF(L10="Leve",0.2,IF(L10="Menor",0.4,IF(L10="Moderado",0.6,IF(L10="Mayor",0.8,IF(L10="Catastrófico",1,))))))</f>
        <v>0.8</v>
      </c>
      <c r="N10" s="142" t="str">
        <f t="shared" ref="N10:N15" si="2">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45" t="s">
        <v>222</v>
      </c>
      <c r="Q10" s="125" t="s">
        <v>223</v>
      </c>
      <c r="R10" s="126" t="s">
        <v>14</v>
      </c>
      <c r="S10" s="126" t="s">
        <v>9</v>
      </c>
      <c r="T10" s="127" t="str">
        <f t="shared" ref="T10:T15" si="3">IF(AND(R10="Preventivo",S10="Automático"),"50%",IF(AND(R10="Preventivo",S10="Manual"),"40%",IF(AND(R10="Detectivo",S10="Automático"),"40%",IF(AND(R10="Detectivo",S10="Manual"),"30%",IF(AND(R10="Correctivo",S10="Automático"),"35%",IF(AND(R10="Correctivo",S10="Manual"),"25%",""))))))</f>
        <v>40%</v>
      </c>
      <c r="U10" s="126" t="s">
        <v>20</v>
      </c>
      <c r="V10" s="126" t="s">
        <v>22</v>
      </c>
      <c r="W10" s="126" t="s">
        <v>120</v>
      </c>
      <c r="X10" s="128">
        <f t="shared" ref="X10:X15" si="4">IFERROR(IF(Q10="Probabilidad",(I10-(+I10*T10)),IF(Q10="Impacto",I10,"")),"")</f>
        <v>0.48</v>
      </c>
      <c r="Y10" s="129" t="str">
        <f t="shared" ref="Y10:Y15" si="5">IFERROR(IF(X10="","",IF(X10&lt;=0.2,"Muy Baja",IF(X10&lt;=0.4,"Baja",IF(X10&lt;=0.6,"Media",IF(X10&lt;=0.8,"Alta","Muy Alta"))))),"")</f>
        <v>Media</v>
      </c>
      <c r="Z10" s="130">
        <f t="shared" ref="Z10:Z15" si="6">+X10</f>
        <v>0.48</v>
      </c>
      <c r="AA10" s="129" t="str">
        <f t="shared" ref="AA10:AA15" si="7">IFERROR(IF(AB10="","",IF(AB10&lt;=0.2,"Leve",IF(AB10&lt;=0.4,"Menor",IF(AB10&lt;=0.6,"Moderado",IF(AB10&lt;=0.8,"Mayor","Catastrófico"))))),"")</f>
        <v>Mayor</v>
      </c>
      <c r="AB10" s="130">
        <f t="shared" ref="AB10:AB15" si="8">IFERROR(IF(Q10="Impacto",(M10-(+M10*T10)),IF(Q10="Probabilidad",M10,"")),"")</f>
        <v>0.8</v>
      </c>
      <c r="AC10" s="131" t="str">
        <f t="shared" ref="AC10:AC15" si="9">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32</v>
      </c>
      <c r="AE10" s="146" t="s">
        <v>224</v>
      </c>
      <c r="AF10" s="147" t="s">
        <v>225</v>
      </c>
      <c r="AG10" s="147" t="s">
        <v>244</v>
      </c>
      <c r="AH10" s="135"/>
      <c r="AI10" s="133"/>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30.5" customHeight="1" x14ac:dyDescent="0.3">
      <c r="A11" s="140">
        <v>2</v>
      </c>
      <c r="B11" s="137" t="s">
        <v>132</v>
      </c>
      <c r="C11" s="137"/>
      <c r="D11" s="137" t="s">
        <v>227</v>
      </c>
      <c r="E11" s="141" t="s">
        <v>226</v>
      </c>
      <c r="F11" s="137" t="s">
        <v>123</v>
      </c>
      <c r="G11" s="138" t="s">
        <v>219</v>
      </c>
      <c r="H11" s="139" t="s">
        <v>221</v>
      </c>
      <c r="I11" s="143">
        <f t="shared" si="0"/>
        <v>0.8</v>
      </c>
      <c r="J11" s="144" t="s">
        <v>57</v>
      </c>
      <c r="K11" s="143" t="str">
        <f>IF(NOT(ISERROR(MATCH(J11,'Tabla Impacto'!$B$221:$B$223,0))),'Tabla Impacto'!$F$223&amp;"Por favor no seleccionar los criterios de impacto(Afectación Económica o presupuestal y Pérdida Reputacional)",J11)</f>
        <v>❌Por favor no seleccionar los criterios de impacto(Afectación Económica o presupuestal y Pérdida Reputacional)</v>
      </c>
      <c r="L11" s="139" t="s">
        <v>220</v>
      </c>
      <c r="M11" s="143">
        <f t="shared" si="1"/>
        <v>0.8</v>
      </c>
      <c r="N11" s="142" t="str">
        <f t="shared" si="2"/>
        <v>Alto</v>
      </c>
      <c r="O11" s="123">
        <v>1</v>
      </c>
      <c r="P11" s="148" t="s">
        <v>228</v>
      </c>
      <c r="Q11" s="125" t="s">
        <v>223</v>
      </c>
      <c r="R11" s="126" t="s">
        <v>14</v>
      </c>
      <c r="S11" s="126" t="s">
        <v>9</v>
      </c>
      <c r="T11" s="127" t="str">
        <f t="shared" si="3"/>
        <v>40%</v>
      </c>
      <c r="U11" s="126" t="s">
        <v>20</v>
      </c>
      <c r="V11" s="126" t="s">
        <v>22</v>
      </c>
      <c r="W11" s="126" t="s">
        <v>120</v>
      </c>
      <c r="X11" s="128">
        <f t="shared" si="4"/>
        <v>0.48</v>
      </c>
      <c r="Y11" s="129" t="str">
        <f t="shared" si="5"/>
        <v>Media</v>
      </c>
      <c r="Z11" s="130">
        <f t="shared" si="6"/>
        <v>0.48</v>
      </c>
      <c r="AA11" s="129" t="str">
        <f t="shared" si="7"/>
        <v>Mayor</v>
      </c>
      <c r="AB11" s="130">
        <f t="shared" si="8"/>
        <v>0.8</v>
      </c>
      <c r="AC11" s="131" t="str">
        <f t="shared" si="9"/>
        <v>Alto</v>
      </c>
      <c r="AD11" s="132" t="s">
        <v>32</v>
      </c>
      <c r="AE11" s="148" t="s">
        <v>229</v>
      </c>
      <c r="AF11" s="147" t="s">
        <v>225</v>
      </c>
      <c r="AG11" s="147" t="s">
        <v>244</v>
      </c>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67.25" customHeight="1" x14ac:dyDescent="0.3">
      <c r="A12" s="140">
        <v>3</v>
      </c>
      <c r="B12" s="137" t="s">
        <v>132</v>
      </c>
      <c r="C12" s="137"/>
      <c r="D12" s="137" t="s">
        <v>231</v>
      </c>
      <c r="E12" s="141" t="s">
        <v>230</v>
      </c>
      <c r="F12" s="137" t="s">
        <v>128</v>
      </c>
      <c r="G12" s="138" t="s">
        <v>219</v>
      </c>
      <c r="H12" s="139" t="s">
        <v>232</v>
      </c>
      <c r="I12" s="143">
        <f t="shared" si="0"/>
        <v>0.6</v>
      </c>
      <c r="J12" s="144" t="s">
        <v>57</v>
      </c>
      <c r="K12" s="143" t="str">
        <f>IF(NOT(ISERROR(MATCH(J12,'Tabla Impacto'!$B$221:$B$223,0))),'Tabla Impacto'!$F$223&amp;"Por favor no seleccionar los criterios de impacto(Afectación Económica o presupuestal y Pérdida Reputacional)",J12)</f>
        <v>❌Por favor no seleccionar los criterios de impacto(Afectación Económica o presupuestal y Pérdida Reputacional)</v>
      </c>
      <c r="L12" s="139" t="s">
        <v>233</v>
      </c>
      <c r="M12" s="143">
        <f t="shared" si="1"/>
        <v>0.6</v>
      </c>
      <c r="N12" s="142" t="str">
        <f t="shared" si="2"/>
        <v>Moderado</v>
      </c>
      <c r="O12" s="123">
        <v>1</v>
      </c>
      <c r="P12" s="149" t="s">
        <v>234</v>
      </c>
      <c r="Q12" s="125" t="s">
        <v>223</v>
      </c>
      <c r="R12" s="126" t="s">
        <v>14</v>
      </c>
      <c r="S12" s="126" t="s">
        <v>9</v>
      </c>
      <c r="T12" s="127" t="str">
        <f t="shared" si="3"/>
        <v>40%</v>
      </c>
      <c r="U12" s="126" t="s">
        <v>20</v>
      </c>
      <c r="V12" s="126" t="s">
        <v>22</v>
      </c>
      <c r="W12" s="126" t="s">
        <v>120</v>
      </c>
      <c r="X12" s="128">
        <f t="shared" si="4"/>
        <v>0.36</v>
      </c>
      <c r="Y12" s="129" t="str">
        <f t="shared" si="5"/>
        <v>Baja</v>
      </c>
      <c r="Z12" s="130">
        <f t="shared" si="6"/>
        <v>0.36</v>
      </c>
      <c r="AA12" s="129" t="str">
        <f t="shared" si="7"/>
        <v>Moderado</v>
      </c>
      <c r="AB12" s="130">
        <f t="shared" si="8"/>
        <v>0.6</v>
      </c>
      <c r="AC12" s="131" t="str">
        <f t="shared" si="9"/>
        <v>Moderado</v>
      </c>
      <c r="AD12" s="132" t="s">
        <v>32</v>
      </c>
      <c r="AE12" s="150" t="s">
        <v>235</v>
      </c>
      <c r="AF12" s="147" t="s">
        <v>225</v>
      </c>
      <c r="AG12" s="147" t="s">
        <v>244</v>
      </c>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76.25" customHeight="1" x14ac:dyDescent="0.3">
      <c r="A13" s="140">
        <v>4</v>
      </c>
      <c r="B13" s="137" t="s">
        <v>132</v>
      </c>
      <c r="C13" s="137"/>
      <c r="D13" s="137" t="s">
        <v>237</v>
      </c>
      <c r="E13" s="141" t="s">
        <v>236</v>
      </c>
      <c r="F13" s="137" t="s">
        <v>123</v>
      </c>
      <c r="G13" s="138" t="s">
        <v>219</v>
      </c>
      <c r="H13" s="139" t="s">
        <v>232</v>
      </c>
      <c r="I13" s="143">
        <f t="shared" si="0"/>
        <v>0.6</v>
      </c>
      <c r="J13" s="144" t="s">
        <v>57</v>
      </c>
      <c r="K13" s="143" t="str">
        <f>IF(NOT(ISERROR(MATCH(J13,'Tabla Impacto'!$B$221:$B$223,0))),'Tabla Impacto'!$F$223&amp;"Por favor no seleccionar los criterios de impacto(Afectación Económica o presupuestal y Pérdida Reputacional)",J13)</f>
        <v>❌Por favor no seleccionar los criterios de impacto(Afectación Económica o presupuestal y Pérdida Reputacional)</v>
      </c>
      <c r="L13" s="139" t="s">
        <v>233</v>
      </c>
      <c r="M13" s="143">
        <f t="shared" si="1"/>
        <v>0.6</v>
      </c>
      <c r="N13" s="142" t="str">
        <f t="shared" si="2"/>
        <v>Moderado</v>
      </c>
      <c r="O13" s="123">
        <v>1</v>
      </c>
      <c r="P13" s="150" t="s">
        <v>239</v>
      </c>
      <c r="Q13" s="125" t="s">
        <v>223</v>
      </c>
      <c r="R13" s="126" t="s">
        <v>16</v>
      </c>
      <c r="S13" s="126" t="s">
        <v>9</v>
      </c>
      <c r="T13" s="127" t="str">
        <f t="shared" si="3"/>
        <v>25%</v>
      </c>
      <c r="U13" s="126" t="s">
        <v>20</v>
      </c>
      <c r="V13" s="126" t="s">
        <v>22</v>
      </c>
      <c r="W13" s="126" t="s">
        <v>120</v>
      </c>
      <c r="X13" s="128">
        <f t="shared" si="4"/>
        <v>0.44999999999999996</v>
      </c>
      <c r="Y13" s="129" t="str">
        <f t="shared" si="5"/>
        <v>Media</v>
      </c>
      <c r="Z13" s="130">
        <f t="shared" si="6"/>
        <v>0.44999999999999996</v>
      </c>
      <c r="AA13" s="129" t="str">
        <f t="shared" si="7"/>
        <v>Moderado</v>
      </c>
      <c r="AB13" s="130">
        <f t="shared" si="8"/>
        <v>0.6</v>
      </c>
      <c r="AC13" s="131" t="str">
        <f t="shared" si="9"/>
        <v>Moderado</v>
      </c>
      <c r="AD13" s="132" t="s">
        <v>32</v>
      </c>
      <c r="AE13" s="150" t="s">
        <v>238</v>
      </c>
      <c r="AF13" s="147" t="s">
        <v>225</v>
      </c>
      <c r="AG13" s="147" t="s">
        <v>244</v>
      </c>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21.5" customHeight="1" x14ac:dyDescent="0.3">
      <c r="A14" s="140">
        <v>5</v>
      </c>
      <c r="B14" s="137" t="s">
        <v>132</v>
      </c>
      <c r="C14" s="137"/>
      <c r="D14" s="137" t="s">
        <v>241</v>
      </c>
      <c r="E14" s="141" t="s">
        <v>240</v>
      </c>
      <c r="F14" s="137" t="s">
        <v>123</v>
      </c>
      <c r="G14" s="138" t="s">
        <v>219</v>
      </c>
      <c r="H14" s="139" t="s">
        <v>221</v>
      </c>
      <c r="I14" s="143">
        <f t="shared" si="0"/>
        <v>0.8</v>
      </c>
      <c r="J14" s="144" t="s">
        <v>57</v>
      </c>
      <c r="K14" s="143" t="str">
        <f>IF(NOT(ISERROR(MATCH(J14,'Tabla Impacto'!$B$221:$B$223,0))),'Tabla Impacto'!$F$223&amp;"Por favor no seleccionar los criterios de impacto(Afectación Económica o presupuestal y Pérdida Reputacional)",J14)</f>
        <v>❌Por favor no seleccionar los criterios de impacto(Afectación Económica o presupuestal y Pérdida Reputacional)</v>
      </c>
      <c r="L14" s="139" t="s">
        <v>220</v>
      </c>
      <c r="M14" s="143">
        <f t="shared" si="1"/>
        <v>0.8</v>
      </c>
      <c r="N14" s="142" t="str">
        <f t="shared" si="2"/>
        <v>Alto</v>
      </c>
      <c r="O14" s="123">
        <v>1</v>
      </c>
      <c r="P14" s="151" t="s">
        <v>242</v>
      </c>
      <c r="Q14" s="125" t="s">
        <v>223</v>
      </c>
      <c r="R14" s="126" t="s">
        <v>16</v>
      </c>
      <c r="S14" s="126" t="s">
        <v>9</v>
      </c>
      <c r="T14" s="127" t="str">
        <f t="shared" si="3"/>
        <v>25%</v>
      </c>
      <c r="U14" s="126" t="s">
        <v>20</v>
      </c>
      <c r="V14" s="126" t="s">
        <v>22</v>
      </c>
      <c r="W14" s="126" t="s">
        <v>120</v>
      </c>
      <c r="X14" s="128">
        <f t="shared" si="4"/>
        <v>0.60000000000000009</v>
      </c>
      <c r="Y14" s="129" t="str">
        <f t="shared" si="5"/>
        <v>Media</v>
      </c>
      <c r="Z14" s="130">
        <f t="shared" si="6"/>
        <v>0.60000000000000009</v>
      </c>
      <c r="AA14" s="129" t="str">
        <f t="shared" si="7"/>
        <v>Mayor</v>
      </c>
      <c r="AB14" s="130">
        <f t="shared" si="8"/>
        <v>0.8</v>
      </c>
      <c r="AC14" s="131" t="str">
        <f t="shared" si="9"/>
        <v>Alto</v>
      </c>
      <c r="AD14" s="132" t="s">
        <v>32</v>
      </c>
      <c r="AE14" s="150" t="s">
        <v>243</v>
      </c>
      <c r="AF14" s="147" t="s">
        <v>225</v>
      </c>
      <c r="AG14" s="147" t="s">
        <v>244</v>
      </c>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
      <c r="A15" s="209">
        <v>6</v>
      </c>
      <c r="B15" s="212"/>
      <c r="C15" s="212"/>
      <c r="D15" s="212"/>
      <c r="E15" s="215"/>
      <c r="F15" s="212"/>
      <c r="G15" s="218"/>
      <c r="H15" s="221" t="str">
        <f>IF(G15&lt;=0,"",IF(G15&lt;=2,"Muy Baja",IF(G15&lt;=24,"Baja",IF(G15&lt;=500,"Media",IF(G15&lt;=5000,"Alta","Muy Alta")))))</f>
        <v/>
      </c>
      <c r="I15" s="203" t="str">
        <f t="shared" si="0"/>
        <v/>
      </c>
      <c r="J15" s="224"/>
      <c r="K15" s="203">
        <f>IF(NOT(ISERROR(MATCH(J15,'Tabla Impacto'!$B$221:$B$223,0))),'Tabla Impacto'!$F$223&amp;"Por favor no seleccionar los criterios de impacto(Afectación Económica o presupuestal y Pérdida Reputacional)",J15)</f>
        <v>0</v>
      </c>
      <c r="L15" s="221" t="str">
        <f>IF(OR(K15='Tabla Impacto'!$C$11,K15='Tabla Impacto'!$D$11),"Leve",IF(OR(K15='Tabla Impacto'!$C$12,K15='Tabla Impacto'!$D$12),"Menor",IF(OR(K15='Tabla Impacto'!$C$13,K15='Tabla Impacto'!$D$13),"Moderado",IF(OR(K15='Tabla Impacto'!$C$14,K15='Tabla Impacto'!$D$14),"Mayor",IF(OR(K15='Tabla Impacto'!$C$15,K15='Tabla Impacto'!$D$15),"Catastrófico","")))))</f>
        <v/>
      </c>
      <c r="M15" s="203" t="str">
        <f t="shared" si="1"/>
        <v/>
      </c>
      <c r="N15" s="206" t="str">
        <f t="shared" si="2"/>
        <v/>
      </c>
      <c r="O15" s="123">
        <v>1</v>
      </c>
      <c r="P15" s="124"/>
      <c r="Q15" s="125" t="str">
        <f>IF(OR(R15="Preventivo",R15="Detectivo"),"Probabilidad",IF(R15="Correctivo","Impacto",""))</f>
        <v/>
      </c>
      <c r="R15" s="126"/>
      <c r="S15" s="126"/>
      <c r="T15" s="127" t="str">
        <f t="shared" si="3"/>
        <v/>
      </c>
      <c r="U15" s="126"/>
      <c r="V15" s="126"/>
      <c r="W15" s="126"/>
      <c r="X15" s="128" t="str">
        <f t="shared" si="4"/>
        <v/>
      </c>
      <c r="Y15" s="129" t="str">
        <f t="shared" si="5"/>
        <v/>
      </c>
      <c r="Z15" s="130" t="str">
        <f t="shared" si="6"/>
        <v/>
      </c>
      <c r="AA15" s="129" t="str">
        <f t="shared" si="7"/>
        <v/>
      </c>
      <c r="AB15" s="130" t="str">
        <f t="shared" si="8"/>
        <v/>
      </c>
      <c r="AC15" s="131" t="str">
        <f t="shared" si="9"/>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10"/>
      <c r="B16" s="213"/>
      <c r="C16" s="213"/>
      <c r="D16" s="213"/>
      <c r="E16" s="216"/>
      <c r="F16" s="213"/>
      <c r="G16" s="219"/>
      <c r="H16" s="222"/>
      <c r="I16" s="204"/>
      <c r="J16" s="225"/>
      <c r="K16" s="204">
        <f t="shared" ref="K16:K20" si="10">IF(NOT(ISERROR(MATCH(J16,_xlfn.ANCHORARRAY(E27),0))),I29&amp;"Por favor no seleccionar los criterios de impacto",J16)</f>
        <v>0</v>
      </c>
      <c r="L16" s="222"/>
      <c r="M16" s="204"/>
      <c r="N16" s="207"/>
      <c r="O16" s="123">
        <v>2</v>
      </c>
      <c r="P16" s="124"/>
      <c r="Q16" s="125" t="str">
        <f>IF(OR(R16="Preventivo",R16="Detectivo"),"Probabilidad",IF(R16="Correctivo","Impacto",""))</f>
        <v/>
      </c>
      <c r="R16" s="126"/>
      <c r="S16" s="126"/>
      <c r="T16" s="127" t="str">
        <f t="shared" ref="T16:T20" si="11">IF(AND(R16="Preventivo",S16="Automático"),"50%",IF(AND(R16="Preventivo",S16="Manual"),"40%",IF(AND(R16="Detectivo",S16="Automático"),"40%",IF(AND(R16="Detectivo",S16="Manual"),"30%",IF(AND(R16="Correctivo",S16="Automático"),"35%",IF(AND(R16="Correctivo",S16="Manual"),"25%",""))))))</f>
        <v/>
      </c>
      <c r="U16" s="126"/>
      <c r="V16" s="126"/>
      <c r="W16" s="126"/>
      <c r="X16" s="128" t="str">
        <f>IFERROR(IF(AND(Q15="Probabilidad",Q16="Probabilidad"),(Z15-(+Z15*T16)),IF(Q16="Probabilidad",(I15-(+I15*T16)),IF(Q16="Impacto",Z15,""))),"")</f>
        <v/>
      </c>
      <c r="Y16" s="129" t="str">
        <f t="shared" ref="Y16:Y44" si="12">IFERROR(IF(X16="","",IF(X16&lt;=0.2,"Muy Baja",IF(X16&lt;=0.4,"Baja",IF(X16&lt;=0.6,"Media",IF(X16&lt;=0.8,"Alta","Muy Alta"))))),"")</f>
        <v/>
      </c>
      <c r="Z16" s="130" t="str">
        <f t="shared" ref="Z16:Z20" si="13">+X16</f>
        <v/>
      </c>
      <c r="AA16" s="129" t="str">
        <f t="shared" ref="AA16:AA44" si="14">IFERROR(IF(AB16="","",IF(AB16&lt;=0.2,"Leve",IF(AB16&lt;=0.4,"Menor",IF(AB16&lt;=0.6,"Moderado",IF(AB16&lt;=0.8,"Mayor","Catastrófico"))))),"")</f>
        <v/>
      </c>
      <c r="AB16" s="130" t="str">
        <f>IFERROR(IF(AND(Q15="Impacto",Q16="Impacto"),(AB15-(+AB15*T16)),IF(Q16="Impacto",(M15-(+M15*T16)),IF(Q16="Probabilidad",AB15,""))),"")</f>
        <v/>
      </c>
      <c r="AC16" s="131" t="str">
        <f t="shared" ref="AC16:AC17" si="1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2"/>
      <c r="AE16" s="133"/>
      <c r="AF16" s="134"/>
      <c r="AG16" s="135"/>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10"/>
      <c r="B17" s="213"/>
      <c r="C17" s="213"/>
      <c r="D17" s="213"/>
      <c r="E17" s="216"/>
      <c r="F17" s="213"/>
      <c r="G17" s="219"/>
      <c r="H17" s="222"/>
      <c r="I17" s="204"/>
      <c r="J17" s="225"/>
      <c r="K17" s="204">
        <f t="shared" si="10"/>
        <v>0</v>
      </c>
      <c r="L17" s="222"/>
      <c r="M17" s="204"/>
      <c r="N17" s="207"/>
      <c r="O17" s="123">
        <v>3</v>
      </c>
      <c r="P17" s="136"/>
      <c r="Q17" s="125" t="str">
        <f>IF(OR(R17="Preventivo",R17="Detectivo"),"Probabilidad",IF(R17="Correctivo","Impacto",""))</f>
        <v/>
      </c>
      <c r="R17" s="126"/>
      <c r="S17" s="126"/>
      <c r="T17" s="127" t="str">
        <f t="shared" si="11"/>
        <v/>
      </c>
      <c r="U17" s="126"/>
      <c r="V17" s="126"/>
      <c r="W17" s="126"/>
      <c r="X17" s="128" t="str">
        <f>IFERROR(IF(AND(Q16="Probabilidad",Q17="Probabilidad"),(Z16-(+Z16*T17)),IF(AND(Q16="Impacto",Q17="Probabilidad"),(Z15-(+Z15*T17)),IF(Q17="Impacto",Z16,""))),"")</f>
        <v/>
      </c>
      <c r="Y17" s="129" t="str">
        <f t="shared" si="12"/>
        <v/>
      </c>
      <c r="Z17" s="130" t="str">
        <f t="shared" si="13"/>
        <v/>
      </c>
      <c r="AA17" s="129" t="str">
        <f t="shared" si="14"/>
        <v/>
      </c>
      <c r="AB17" s="130" t="str">
        <f>IFERROR(IF(AND(Q16="Impacto",Q17="Impacto"),(AB16-(+AB16*T17)),IF(AND(Q16="Probabilidad",Q17="Impacto"),(AB15-(+AB15*T17)),IF(Q17="Probabilidad",AB16,""))),"")</f>
        <v/>
      </c>
      <c r="AC17" s="131" t="str">
        <f t="shared" si="15"/>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10"/>
      <c r="B18" s="213"/>
      <c r="C18" s="213"/>
      <c r="D18" s="213"/>
      <c r="E18" s="216"/>
      <c r="F18" s="213"/>
      <c r="G18" s="219"/>
      <c r="H18" s="222"/>
      <c r="I18" s="204"/>
      <c r="J18" s="225"/>
      <c r="K18" s="204">
        <f t="shared" si="10"/>
        <v>0</v>
      </c>
      <c r="L18" s="222"/>
      <c r="M18" s="204"/>
      <c r="N18" s="207"/>
      <c r="O18" s="123">
        <v>4</v>
      </c>
      <c r="P18" s="124"/>
      <c r="Q18" s="125" t="str">
        <f t="shared" ref="Q18:Q20" si="16">IF(OR(R18="Preventivo",R18="Detectivo"),"Probabilidad",IF(R18="Correctivo","Impacto",""))</f>
        <v/>
      </c>
      <c r="R18" s="126"/>
      <c r="S18" s="126"/>
      <c r="T18" s="127" t="str">
        <f t="shared" si="11"/>
        <v/>
      </c>
      <c r="U18" s="126"/>
      <c r="V18" s="126"/>
      <c r="W18" s="126"/>
      <c r="X18" s="128" t="str">
        <f t="shared" ref="X18:X20" si="17">IFERROR(IF(AND(Q17="Probabilidad",Q18="Probabilidad"),(Z17-(+Z17*T18)),IF(AND(Q17="Impacto",Q18="Probabilidad"),(Z16-(+Z16*T18)),IF(Q18="Impacto",Z17,""))),"")</f>
        <v/>
      </c>
      <c r="Y18" s="129" t="str">
        <f t="shared" si="12"/>
        <v/>
      </c>
      <c r="Z18" s="130" t="str">
        <f t="shared" si="13"/>
        <v/>
      </c>
      <c r="AA18" s="129" t="str">
        <f t="shared" si="14"/>
        <v/>
      </c>
      <c r="AB18" s="130" t="str">
        <f t="shared" ref="AB18:AB20" si="18">IFERROR(IF(AND(Q17="Impacto",Q18="Impacto"),(AB17-(+AB17*T18)),IF(AND(Q17="Probabilidad",Q18="Impacto"),(AB16-(+AB16*T18)),IF(Q18="Probabilidad",AB17,""))),"")</f>
        <v/>
      </c>
      <c r="AC18" s="131"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10"/>
      <c r="B19" s="213"/>
      <c r="C19" s="213"/>
      <c r="D19" s="213"/>
      <c r="E19" s="216"/>
      <c r="F19" s="213"/>
      <c r="G19" s="219"/>
      <c r="H19" s="222"/>
      <c r="I19" s="204"/>
      <c r="J19" s="225"/>
      <c r="K19" s="204">
        <f t="shared" si="10"/>
        <v>0</v>
      </c>
      <c r="L19" s="222"/>
      <c r="M19" s="204"/>
      <c r="N19" s="207"/>
      <c r="O19" s="123">
        <v>5</v>
      </c>
      <c r="P19" s="124"/>
      <c r="Q19" s="125" t="str">
        <f t="shared" si="16"/>
        <v/>
      </c>
      <c r="R19" s="126"/>
      <c r="S19" s="126"/>
      <c r="T19" s="127" t="str">
        <f t="shared" si="11"/>
        <v/>
      </c>
      <c r="U19" s="126"/>
      <c r="V19" s="126"/>
      <c r="W19" s="126"/>
      <c r="X19" s="128" t="str">
        <f t="shared" si="17"/>
        <v/>
      </c>
      <c r="Y19" s="129" t="str">
        <f t="shared" si="12"/>
        <v/>
      </c>
      <c r="Z19" s="130" t="str">
        <f t="shared" si="13"/>
        <v/>
      </c>
      <c r="AA19" s="129" t="str">
        <f t="shared" si="14"/>
        <v/>
      </c>
      <c r="AB19" s="130" t="str">
        <f t="shared" si="18"/>
        <v/>
      </c>
      <c r="AC19" s="131" t="str">
        <f t="shared" ref="AC19" si="19">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11"/>
      <c r="B20" s="214"/>
      <c r="C20" s="214"/>
      <c r="D20" s="214"/>
      <c r="E20" s="217"/>
      <c r="F20" s="214"/>
      <c r="G20" s="220"/>
      <c r="H20" s="223"/>
      <c r="I20" s="205"/>
      <c r="J20" s="226"/>
      <c r="K20" s="205">
        <f t="shared" si="10"/>
        <v>0</v>
      </c>
      <c r="L20" s="223"/>
      <c r="M20" s="205"/>
      <c r="N20" s="208"/>
      <c r="O20" s="123">
        <v>6</v>
      </c>
      <c r="P20" s="124"/>
      <c r="Q20" s="125" t="str">
        <f t="shared" si="16"/>
        <v/>
      </c>
      <c r="R20" s="126"/>
      <c r="S20" s="126"/>
      <c r="T20" s="127" t="str">
        <f t="shared" si="11"/>
        <v/>
      </c>
      <c r="U20" s="126"/>
      <c r="V20" s="126"/>
      <c r="W20" s="126"/>
      <c r="X20" s="128" t="str">
        <f t="shared" si="17"/>
        <v/>
      </c>
      <c r="Y20" s="129" t="str">
        <f t="shared" si="12"/>
        <v/>
      </c>
      <c r="Z20" s="130" t="str">
        <f t="shared" si="13"/>
        <v/>
      </c>
      <c r="AA20" s="129" t="str">
        <f>IFERROR(IF(AB20="","",IF(AB20&lt;=0.2,"Leve",IF(AB20&lt;=0.4,"Menor",IF(AB20&lt;=0.6,"Moderado",IF(AB20&lt;=0.8,"Mayor","Catastrófico"))))),"")</f>
        <v/>
      </c>
      <c r="AB20" s="130" t="str">
        <f t="shared" si="18"/>
        <v/>
      </c>
      <c r="AC20" s="131"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09">
        <v>7</v>
      </c>
      <c r="B21" s="212"/>
      <c r="C21" s="212"/>
      <c r="D21" s="212"/>
      <c r="E21" s="215"/>
      <c r="F21" s="212"/>
      <c r="G21" s="218"/>
      <c r="H21" s="221" t="str">
        <f>IF(G21&lt;=0,"",IF(G21&lt;=2,"Muy Baja",IF(G21&lt;=24,"Baja",IF(G21&lt;=500,"Media",IF(G21&lt;=5000,"Alta","Muy Alta")))))</f>
        <v/>
      </c>
      <c r="I21" s="203" t="str">
        <f>IF(H21="","",IF(H21="Muy Baja",0.2,IF(H21="Baja",0.4,IF(H21="Media",0.6,IF(H21="Alta",0.8,IF(H21="Muy Alta",1,))))))</f>
        <v/>
      </c>
      <c r="J21" s="224"/>
      <c r="K21" s="203">
        <f>IF(NOT(ISERROR(MATCH(J21,'Tabla Impacto'!$B$221:$B$223,0))),'Tabla Impacto'!$F$223&amp;"Por favor no seleccionar los criterios de impacto(Afectación Económica o presupuestal y Pérdida Reputacional)",J21)</f>
        <v>0</v>
      </c>
      <c r="L21" s="221" t="str">
        <f>IF(OR(K21='Tabla Impacto'!$C$11,K21='Tabla Impacto'!$D$11),"Leve",IF(OR(K21='Tabla Impacto'!$C$12,K21='Tabla Impacto'!$D$12),"Menor",IF(OR(K21='Tabla Impacto'!$C$13,K21='Tabla Impacto'!$D$13),"Moderado",IF(OR(K21='Tabla Impacto'!$C$14,K21='Tabla Impacto'!$D$14),"Mayor",IF(OR(K21='Tabla Impacto'!$C$15,K21='Tabla Impacto'!$D$15),"Catastrófico","")))))</f>
        <v/>
      </c>
      <c r="M21" s="203" t="str">
        <f>IF(L21="","",IF(L21="Leve",0.2,IF(L21="Menor",0.4,IF(L21="Moderado",0.6,IF(L21="Mayor",0.8,IF(L21="Catastrófico",1,))))))</f>
        <v/>
      </c>
      <c r="N21" s="206"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
      </c>
      <c r="O21" s="123">
        <v>1</v>
      </c>
      <c r="P21" s="124"/>
      <c r="Q21" s="125" t="str">
        <f>IF(OR(R21="Preventivo",R21="Detectivo"),"Probabilidad",IF(R21="Correctivo","Impacto",""))</f>
        <v/>
      </c>
      <c r="R21" s="126"/>
      <c r="S21" s="126"/>
      <c r="T21" s="127" t="str">
        <f>IF(AND(R21="Preventivo",S21="Automático"),"50%",IF(AND(R21="Preventivo",S21="Manual"),"40%",IF(AND(R21="Detectivo",S21="Automático"),"40%",IF(AND(R21="Detectivo",S21="Manual"),"30%",IF(AND(R21="Correctivo",S21="Automático"),"35%",IF(AND(R21="Correctivo",S21="Manual"),"25%",""))))))</f>
        <v/>
      </c>
      <c r="U21" s="126"/>
      <c r="V21" s="126"/>
      <c r="W21" s="126"/>
      <c r="X21" s="128" t="str">
        <f>IFERROR(IF(Q21="Probabilidad",(I21-(+I21*T21)),IF(Q21="Impacto",I21,"")),"")</f>
        <v/>
      </c>
      <c r="Y21" s="129" t="str">
        <f>IFERROR(IF(X21="","",IF(X21&lt;=0.2,"Muy Baja",IF(X21&lt;=0.4,"Baja",IF(X21&lt;=0.6,"Media",IF(X21&lt;=0.8,"Alta","Muy Alta"))))),"")</f>
        <v/>
      </c>
      <c r="Z21" s="130" t="str">
        <f>+X21</f>
        <v/>
      </c>
      <c r="AA21" s="129" t="str">
        <f>IFERROR(IF(AB21="","",IF(AB21&lt;=0.2,"Leve",IF(AB21&lt;=0.4,"Menor",IF(AB21&lt;=0.6,"Moderado",IF(AB21&lt;=0.8,"Mayor","Catastrófico"))))),"")</f>
        <v/>
      </c>
      <c r="AB21" s="130" t="str">
        <f>IFERROR(IF(Q21="Impacto",(M21-(+M21*T21)),IF(Q21="Probabilidad",M21,"")),"")</f>
        <v/>
      </c>
      <c r="AC21" s="131"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10"/>
      <c r="B22" s="213"/>
      <c r="C22" s="213"/>
      <c r="D22" s="213"/>
      <c r="E22" s="216"/>
      <c r="F22" s="213"/>
      <c r="G22" s="219"/>
      <c r="H22" s="222"/>
      <c r="I22" s="204"/>
      <c r="J22" s="225"/>
      <c r="K22" s="204">
        <f t="shared" ref="K22:K26" si="20">IF(NOT(ISERROR(MATCH(J22,_xlfn.ANCHORARRAY(E33),0))),I35&amp;"Por favor no seleccionar los criterios de impacto",J22)</f>
        <v>0</v>
      </c>
      <c r="L22" s="222"/>
      <c r="M22" s="204"/>
      <c r="N22" s="207"/>
      <c r="O22" s="123">
        <v>2</v>
      </c>
      <c r="P22" s="124"/>
      <c r="Q22" s="125" t="str">
        <f>IF(OR(R22="Preventivo",R22="Detectivo"),"Probabilidad",IF(R22="Correctivo","Impacto",""))</f>
        <v/>
      </c>
      <c r="R22" s="126"/>
      <c r="S22" s="126"/>
      <c r="T22" s="127" t="str">
        <f t="shared" ref="T22:T26" si="21">IF(AND(R22="Preventivo",S22="Automático"),"50%",IF(AND(R22="Preventivo",S22="Manual"),"40%",IF(AND(R22="Detectivo",S22="Automático"),"40%",IF(AND(R22="Detectivo",S22="Manual"),"30%",IF(AND(R22="Correctivo",S22="Automático"),"35%",IF(AND(R22="Correctivo",S22="Manual"),"25%",""))))))</f>
        <v/>
      </c>
      <c r="U22" s="126"/>
      <c r="V22" s="126"/>
      <c r="W22" s="126"/>
      <c r="X22" s="128" t="str">
        <f>IFERROR(IF(AND(Q21="Probabilidad",Q22="Probabilidad"),(Z21-(+Z21*T22)),IF(Q22="Probabilidad",(I21-(+I21*T22)),IF(Q22="Impacto",Z21,""))),"")</f>
        <v/>
      </c>
      <c r="Y22" s="129" t="str">
        <f t="shared" si="12"/>
        <v/>
      </c>
      <c r="Z22" s="130" t="str">
        <f t="shared" ref="Z22:Z26" si="22">+X22</f>
        <v/>
      </c>
      <c r="AA22" s="129" t="str">
        <f t="shared" si="14"/>
        <v/>
      </c>
      <c r="AB22" s="130" t="str">
        <f>IFERROR(IF(AND(Q21="Impacto",Q22="Impacto"),(AB21-(+AB21*T22)),IF(Q22="Impacto",(M21-(+M21*T22)),IF(Q22="Probabilidad",AB21,""))),"")</f>
        <v/>
      </c>
      <c r="AC22" s="131" t="str">
        <f t="shared" ref="AC22:AC23" si="23">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10"/>
      <c r="B23" s="213"/>
      <c r="C23" s="213"/>
      <c r="D23" s="213"/>
      <c r="E23" s="216"/>
      <c r="F23" s="213"/>
      <c r="G23" s="219"/>
      <c r="H23" s="222"/>
      <c r="I23" s="204"/>
      <c r="J23" s="225"/>
      <c r="K23" s="204">
        <f t="shared" si="20"/>
        <v>0</v>
      </c>
      <c r="L23" s="222"/>
      <c r="M23" s="204"/>
      <c r="N23" s="207"/>
      <c r="O23" s="123">
        <v>3</v>
      </c>
      <c r="P23" s="136"/>
      <c r="Q23" s="125" t="str">
        <f>IF(OR(R23="Preventivo",R23="Detectivo"),"Probabilidad",IF(R23="Correctivo","Impacto",""))</f>
        <v/>
      </c>
      <c r="R23" s="126"/>
      <c r="S23" s="126"/>
      <c r="T23" s="127" t="str">
        <f t="shared" si="21"/>
        <v/>
      </c>
      <c r="U23" s="126"/>
      <c r="V23" s="126"/>
      <c r="W23" s="126"/>
      <c r="X23" s="128" t="str">
        <f>IFERROR(IF(AND(Q22="Probabilidad",Q23="Probabilidad"),(Z22-(+Z22*T23)),IF(AND(Q22="Impacto",Q23="Probabilidad"),(Z21-(+Z21*T23)),IF(Q23="Impacto",Z22,""))),"")</f>
        <v/>
      </c>
      <c r="Y23" s="129" t="str">
        <f t="shared" si="12"/>
        <v/>
      </c>
      <c r="Z23" s="130" t="str">
        <f t="shared" si="22"/>
        <v/>
      </c>
      <c r="AA23" s="129" t="str">
        <f t="shared" si="14"/>
        <v/>
      </c>
      <c r="AB23" s="130" t="str">
        <f>IFERROR(IF(AND(Q22="Impacto",Q23="Impacto"),(AB22-(+AB22*T23)),IF(AND(Q22="Probabilidad",Q23="Impacto"),(AB21-(+AB21*T23)),IF(Q23="Probabilidad",AB22,""))),"")</f>
        <v/>
      </c>
      <c r="AC23" s="131" t="str">
        <f t="shared" si="23"/>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10"/>
      <c r="B24" s="213"/>
      <c r="C24" s="213"/>
      <c r="D24" s="213"/>
      <c r="E24" s="216"/>
      <c r="F24" s="213"/>
      <c r="G24" s="219"/>
      <c r="H24" s="222"/>
      <c r="I24" s="204"/>
      <c r="J24" s="225"/>
      <c r="K24" s="204">
        <f t="shared" si="20"/>
        <v>0</v>
      </c>
      <c r="L24" s="222"/>
      <c r="M24" s="204"/>
      <c r="N24" s="207"/>
      <c r="O24" s="123">
        <v>4</v>
      </c>
      <c r="P24" s="124"/>
      <c r="Q24" s="125" t="str">
        <f t="shared" ref="Q24:Q26" si="24">IF(OR(R24="Preventivo",R24="Detectivo"),"Probabilidad",IF(R24="Correctivo","Impacto",""))</f>
        <v/>
      </c>
      <c r="R24" s="126"/>
      <c r="S24" s="126"/>
      <c r="T24" s="127" t="str">
        <f t="shared" si="21"/>
        <v/>
      </c>
      <c r="U24" s="126"/>
      <c r="V24" s="126"/>
      <c r="W24" s="126"/>
      <c r="X24" s="128" t="str">
        <f t="shared" ref="X24:X26" si="25">IFERROR(IF(AND(Q23="Probabilidad",Q24="Probabilidad"),(Z23-(+Z23*T24)),IF(AND(Q23="Impacto",Q24="Probabilidad"),(Z22-(+Z22*T24)),IF(Q24="Impacto",Z23,""))),"")</f>
        <v/>
      </c>
      <c r="Y24" s="129" t="str">
        <f t="shared" si="12"/>
        <v/>
      </c>
      <c r="Z24" s="130" t="str">
        <f t="shared" si="22"/>
        <v/>
      </c>
      <c r="AA24" s="129" t="str">
        <f t="shared" si="14"/>
        <v/>
      </c>
      <c r="AB24" s="130" t="str">
        <f t="shared" ref="AB24:AB26" si="26">IFERROR(IF(AND(Q23="Impacto",Q24="Impacto"),(AB23-(+AB23*T24)),IF(AND(Q23="Probabilidad",Q24="Impacto"),(AB22-(+AB22*T24)),IF(Q24="Probabilidad",AB23,""))),"")</f>
        <v/>
      </c>
      <c r="AC24" s="131"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10"/>
      <c r="B25" s="213"/>
      <c r="C25" s="213"/>
      <c r="D25" s="213"/>
      <c r="E25" s="216"/>
      <c r="F25" s="213"/>
      <c r="G25" s="219"/>
      <c r="H25" s="222"/>
      <c r="I25" s="204"/>
      <c r="J25" s="225"/>
      <c r="K25" s="204">
        <f t="shared" si="20"/>
        <v>0</v>
      </c>
      <c r="L25" s="222"/>
      <c r="M25" s="204"/>
      <c r="N25" s="207"/>
      <c r="O25" s="123">
        <v>5</v>
      </c>
      <c r="P25" s="124"/>
      <c r="Q25" s="125" t="str">
        <f t="shared" si="24"/>
        <v/>
      </c>
      <c r="R25" s="126"/>
      <c r="S25" s="126"/>
      <c r="T25" s="127" t="str">
        <f t="shared" si="21"/>
        <v/>
      </c>
      <c r="U25" s="126"/>
      <c r="V25" s="126"/>
      <c r="W25" s="126"/>
      <c r="X25" s="128" t="str">
        <f t="shared" si="25"/>
        <v/>
      </c>
      <c r="Y25" s="129" t="str">
        <f t="shared" si="12"/>
        <v/>
      </c>
      <c r="Z25" s="130" t="str">
        <f t="shared" si="22"/>
        <v/>
      </c>
      <c r="AA25" s="129" t="str">
        <f t="shared" si="14"/>
        <v/>
      </c>
      <c r="AB25" s="130" t="str">
        <f t="shared" si="26"/>
        <v/>
      </c>
      <c r="AC25" s="131" t="str">
        <f t="shared" ref="AC25:AC26" si="2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11"/>
      <c r="B26" s="214"/>
      <c r="C26" s="214"/>
      <c r="D26" s="214"/>
      <c r="E26" s="217"/>
      <c r="F26" s="214"/>
      <c r="G26" s="220"/>
      <c r="H26" s="223"/>
      <c r="I26" s="205"/>
      <c r="J26" s="226"/>
      <c r="K26" s="205">
        <f t="shared" si="20"/>
        <v>0</v>
      </c>
      <c r="L26" s="223"/>
      <c r="M26" s="205"/>
      <c r="N26" s="208"/>
      <c r="O26" s="123">
        <v>6</v>
      </c>
      <c r="P26" s="124"/>
      <c r="Q26" s="125" t="str">
        <f t="shared" si="24"/>
        <v/>
      </c>
      <c r="R26" s="126"/>
      <c r="S26" s="126"/>
      <c r="T26" s="127" t="str">
        <f t="shared" si="21"/>
        <v/>
      </c>
      <c r="U26" s="126"/>
      <c r="V26" s="126"/>
      <c r="W26" s="126"/>
      <c r="X26" s="128" t="str">
        <f t="shared" si="25"/>
        <v/>
      </c>
      <c r="Y26" s="129" t="str">
        <f t="shared" si="12"/>
        <v/>
      </c>
      <c r="Z26" s="130" t="str">
        <f t="shared" si="22"/>
        <v/>
      </c>
      <c r="AA26" s="129" t="str">
        <f t="shared" si="14"/>
        <v/>
      </c>
      <c r="AB26" s="130" t="str">
        <f t="shared" si="26"/>
        <v/>
      </c>
      <c r="AC26" s="131" t="str">
        <f t="shared" si="27"/>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09">
        <v>8</v>
      </c>
      <c r="B27" s="212"/>
      <c r="C27" s="212"/>
      <c r="D27" s="212"/>
      <c r="E27" s="215"/>
      <c r="F27" s="212"/>
      <c r="G27" s="218"/>
      <c r="H27" s="221" t="str">
        <f>IF(G27&lt;=0,"",IF(G27&lt;=2,"Muy Baja",IF(G27&lt;=24,"Baja",IF(G27&lt;=500,"Media",IF(G27&lt;=5000,"Alta","Muy Alta")))))</f>
        <v/>
      </c>
      <c r="I27" s="203" t="str">
        <f>IF(H27="","",IF(H27="Muy Baja",0.2,IF(H27="Baja",0.4,IF(H27="Media",0.6,IF(H27="Alta",0.8,IF(H27="Muy Alta",1,))))))</f>
        <v/>
      </c>
      <c r="J27" s="224"/>
      <c r="K27" s="203">
        <f>IF(NOT(ISERROR(MATCH(J27,'Tabla Impacto'!$B$221:$B$223,0))),'Tabla Impacto'!$F$223&amp;"Por favor no seleccionar los criterios de impacto(Afectación Económica o presupuestal y Pérdida Reputacional)",J27)</f>
        <v>0</v>
      </c>
      <c r="L27" s="221" t="str">
        <f>IF(OR(K27='Tabla Impacto'!$C$11,K27='Tabla Impacto'!$D$11),"Leve",IF(OR(K27='Tabla Impacto'!$C$12,K27='Tabla Impacto'!$D$12),"Menor",IF(OR(K27='Tabla Impacto'!$C$13,K27='Tabla Impacto'!$D$13),"Moderado",IF(OR(K27='Tabla Impacto'!$C$14,K27='Tabla Impacto'!$D$14),"Mayor",IF(OR(K27='Tabla Impacto'!$C$15,K27='Tabla Impacto'!$D$15),"Catastrófico","")))))</f>
        <v/>
      </c>
      <c r="M27" s="203" t="str">
        <f>IF(L27="","",IF(L27="Leve",0.2,IF(L27="Menor",0.4,IF(L27="Moderado",0.6,IF(L27="Mayor",0.8,IF(L27="Catastrófico",1,))))))</f>
        <v/>
      </c>
      <c r="N27" s="206" t="str">
        <f>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
      </c>
      <c r="O27" s="123">
        <v>1</v>
      </c>
      <c r="P27" s="124"/>
      <c r="Q27" s="125" t="str">
        <f>IF(OR(R27="Preventivo",R27="Detectivo"),"Probabilidad",IF(R27="Correctivo","Impacto",""))</f>
        <v/>
      </c>
      <c r="R27" s="126"/>
      <c r="S27" s="126"/>
      <c r="T27" s="127" t="str">
        <f>IF(AND(R27="Preventivo",S27="Automático"),"50%",IF(AND(R27="Preventivo",S27="Manual"),"40%",IF(AND(R27="Detectivo",S27="Automático"),"40%",IF(AND(R27="Detectivo",S27="Manual"),"30%",IF(AND(R27="Correctivo",S27="Automático"),"35%",IF(AND(R27="Correctivo",S27="Manual"),"25%",""))))))</f>
        <v/>
      </c>
      <c r="U27" s="126"/>
      <c r="V27" s="126"/>
      <c r="W27" s="126"/>
      <c r="X27" s="128" t="str">
        <f>IFERROR(IF(Q27="Probabilidad",(I27-(+I27*T27)),IF(Q27="Impacto",I27,"")),"")</f>
        <v/>
      </c>
      <c r="Y27" s="129" t="str">
        <f>IFERROR(IF(X27="","",IF(X27&lt;=0.2,"Muy Baja",IF(X27&lt;=0.4,"Baja",IF(X27&lt;=0.6,"Media",IF(X27&lt;=0.8,"Alta","Muy Alta"))))),"")</f>
        <v/>
      </c>
      <c r="Z27" s="130" t="str">
        <f>+X27</f>
        <v/>
      </c>
      <c r="AA27" s="129" t="str">
        <f>IFERROR(IF(AB27="","",IF(AB27&lt;=0.2,"Leve",IF(AB27&lt;=0.4,"Menor",IF(AB27&lt;=0.6,"Moderado",IF(AB27&lt;=0.8,"Mayor","Catastrófico"))))),"")</f>
        <v/>
      </c>
      <c r="AB27" s="130" t="str">
        <f>IFERROR(IF(Q27="Impacto",(M27-(+M27*T27)),IF(Q27="Probabilidad",M27,"")),"")</f>
        <v/>
      </c>
      <c r="AC27" s="131"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10"/>
      <c r="B28" s="213"/>
      <c r="C28" s="213"/>
      <c r="D28" s="213"/>
      <c r="E28" s="216"/>
      <c r="F28" s="213"/>
      <c r="G28" s="219"/>
      <c r="H28" s="222"/>
      <c r="I28" s="204"/>
      <c r="J28" s="225"/>
      <c r="K28" s="204">
        <f>IF(NOT(ISERROR(MATCH(J28,_xlfn.ANCHORARRAY(E39),0))),I41&amp;"Por favor no seleccionar los criterios de impacto",J28)</f>
        <v>0</v>
      </c>
      <c r="L28" s="222"/>
      <c r="M28" s="204"/>
      <c r="N28" s="207"/>
      <c r="O28" s="123">
        <v>2</v>
      </c>
      <c r="P28" s="124"/>
      <c r="Q28" s="125" t="str">
        <f>IF(OR(R28="Preventivo",R28="Detectivo"),"Probabilidad",IF(R28="Correctivo","Impacto",""))</f>
        <v/>
      </c>
      <c r="R28" s="126"/>
      <c r="S28" s="126"/>
      <c r="T28" s="127" t="str">
        <f t="shared" ref="T28:T32" si="28">IF(AND(R28="Preventivo",S28="Automático"),"50%",IF(AND(R28="Preventivo",S28="Manual"),"40%",IF(AND(R28="Detectivo",S28="Automático"),"40%",IF(AND(R28="Detectivo",S28="Manual"),"30%",IF(AND(R28="Correctivo",S28="Automático"),"35%",IF(AND(R28="Correctivo",S28="Manual"),"25%",""))))))</f>
        <v/>
      </c>
      <c r="U28" s="126"/>
      <c r="V28" s="126"/>
      <c r="W28" s="126"/>
      <c r="X28" s="128" t="str">
        <f>IFERROR(IF(AND(Q27="Probabilidad",Q28="Probabilidad"),(Z27-(+Z27*T28)),IF(Q28="Probabilidad",(I27-(+I27*T28)),IF(Q28="Impacto",Z27,""))),"")</f>
        <v/>
      </c>
      <c r="Y28" s="129" t="str">
        <f t="shared" si="12"/>
        <v/>
      </c>
      <c r="Z28" s="130" t="str">
        <f t="shared" ref="Z28:Z32" si="29">+X28</f>
        <v/>
      </c>
      <c r="AA28" s="129" t="str">
        <f t="shared" si="14"/>
        <v/>
      </c>
      <c r="AB28" s="130" t="str">
        <f>IFERROR(IF(AND(Q27="Impacto",Q28="Impacto"),(AB27-(+AB27*T28)),IF(Q28="Impacto",(M27-(+M27*T28)),IF(Q28="Probabilidad",AB27,""))),"")</f>
        <v/>
      </c>
      <c r="AC28" s="131" t="str">
        <f t="shared" ref="AC28:AC29" si="30">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10"/>
      <c r="B29" s="213"/>
      <c r="C29" s="213"/>
      <c r="D29" s="213"/>
      <c r="E29" s="216"/>
      <c r="F29" s="213"/>
      <c r="G29" s="219"/>
      <c r="H29" s="222"/>
      <c r="I29" s="204"/>
      <c r="J29" s="225"/>
      <c r="K29" s="204">
        <f>IF(NOT(ISERROR(MATCH(J29,_xlfn.ANCHORARRAY(E40),0))),I42&amp;"Por favor no seleccionar los criterios de impacto",J29)</f>
        <v>0</v>
      </c>
      <c r="L29" s="222"/>
      <c r="M29" s="204"/>
      <c r="N29" s="207"/>
      <c r="O29" s="123">
        <v>3</v>
      </c>
      <c r="P29" s="136"/>
      <c r="Q29" s="125" t="str">
        <f>IF(OR(R29="Preventivo",R29="Detectivo"),"Probabilidad",IF(R29="Correctivo","Impacto",""))</f>
        <v/>
      </c>
      <c r="R29" s="126"/>
      <c r="S29" s="126"/>
      <c r="T29" s="127" t="str">
        <f t="shared" si="28"/>
        <v/>
      </c>
      <c r="U29" s="126"/>
      <c r="V29" s="126"/>
      <c r="W29" s="126"/>
      <c r="X29" s="128" t="str">
        <f>IFERROR(IF(AND(Q28="Probabilidad",Q29="Probabilidad"),(Z28-(+Z28*T29)),IF(AND(Q28="Impacto",Q29="Probabilidad"),(Z27-(+Z27*T29)),IF(Q29="Impacto",Z28,""))),"")</f>
        <v/>
      </c>
      <c r="Y29" s="129" t="str">
        <f t="shared" si="12"/>
        <v/>
      </c>
      <c r="Z29" s="130" t="str">
        <f t="shared" si="29"/>
        <v/>
      </c>
      <c r="AA29" s="129" t="str">
        <f t="shared" si="14"/>
        <v/>
      </c>
      <c r="AB29" s="130" t="str">
        <f>IFERROR(IF(AND(Q28="Impacto",Q29="Impacto"),(AB28-(+AB28*T29)),IF(AND(Q28="Probabilidad",Q29="Impacto"),(AB27-(+AB27*T29)),IF(Q29="Probabilidad",AB28,""))),"")</f>
        <v/>
      </c>
      <c r="AC29" s="131" t="str">
        <f t="shared" si="30"/>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10"/>
      <c r="B30" s="213"/>
      <c r="C30" s="213"/>
      <c r="D30" s="213"/>
      <c r="E30" s="216"/>
      <c r="F30" s="213"/>
      <c r="G30" s="219"/>
      <c r="H30" s="222"/>
      <c r="I30" s="204"/>
      <c r="J30" s="225"/>
      <c r="K30" s="204">
        <f>IF(NOT(ISERROR(MATCH(J30,_xlfn.ANCHORARRAY(E41),0))),I43&amp;"Por favor no seleccionar los criterios de impacto",J30)</f>
        <v>0</v>
      </c>
      <c r="L30" s="222"/>
      <c r="M30" s="204"/>
      <c r="N30" s="207"/>
      <c r="O30" s="123">
        <v>4</v>
      </c>
      <c r="P30" s="124"/>
      <c r="Q30" s="125" t="str">
        <f t="shared" ref="Q30:Q32" si="31">IF(OR(R30="Preventivo",R30="Detectivo"),"Probabilidad",IF(R30="Correctivo","Impacto",""))</f>
        <v/>
      </c>
      <c r="R30" s="126"/>
      <c r="S30" s="126"/>
      <c r="T30" s="127" t="str">
        <f t="shared" si="28"/>
        <v/>
      </c>
      <c r="U30" s="126"/>
      <c r="V30" s="126"/>
      <c r="W30" s="126"/>
      <c r="X30" s="128" t="str">
        <f t="shared" ref="X30:X32" si="32">IFERROR(IF(AND(Q29="Probabilidad",Q30="Probabilidad"),(Z29-(+Z29*T30)),IF(AND(Q29="Impacto",Q30="Probabilidad"),(Z28-(+Z28*T30)),IF(Q30="Impacto",Z29,""))),"")</f>
        <v/>
      </c>
      <c r="Y30" s="129" t="str">
        <f t="shared" si="12"/>
        <v/>
      </c>
      <c r="Z30" s="130" t="str">
        <f t="shared" si="29"/>
        <v/>
      </c>
      <c r="AA30" s="129" t="str">
        <f t="shared" si="14"/>
        <v/>
      </c>
      <c r="AB30" s="130" t="str">
        <f t="shared" ref="AB30:AB32" si="33">IFERROR(IF(AND(Q29="Impacto",Q30="Impacto"),(AB29-(+AB29*T30)),IF(AND(Q29="Probabilidad",Q30="Impacto"),(AB28-(+AB28*T30)),IF(Q30="Probabilidad",AB29,""))),"")</f>
        <v/>
      </c>
      <c r="AC30" s="131"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210"/>
      <c r="B31" s="213"/>
      <c r="C31" s="213"/>
      <c r="D31" s="213"/>
      <c r="E31" s="216"/>
      <c r="F31" s="213"/>
      <c r="G31" s="219"/>
      <c r="H31" s="222"/>
      <c r="I31" s="204"/>
      <c r="J31" s="225"/>
      <c r="K31" s="204">
        <f>IF(NOT(ISERROR(MATCH(J31,_xlfn.ANCHORARRAY(E42),0))),I44&amp;"Por favor no seleccionar los criterios de impacto",J31)</f>
        <v>0</v>
      </c>
      <c r="L31" s="222"/>
      <c r="M31" s="204"/>
      <c r="N31" s="207"/>
      <c r="O31" s="123">
        <v>5</v>
      </c>
      <c r="P31" s="124"/>
      <c r="Q31" s="125" t="str">
        <f t="shared" si="31"/>
        <v/>
      </c>
      <c r="R31" s="126"/>
      <c r="S31" s="126"/>
      <c r="T31" s="127" t="str">
        <f t="shared" si="28"/>
        <v/>
      </c>
      <c r="U31" s="126"/>
      <c r="V31" s="126"/>
      <c r="W31" s="126"/>
      <c r="X31" s="128" t="str">
        <f t="shared" si="32"/>
        <v/>
      </c>
      <c r="Y31" s="129" t="str">
        <f t="shared" si="12"/>
        <v/>
      </c>
      <c r="Z31" s="130" t="str">
        <f t="shared" si="29"/>
        <v/>
      </c>
      <c r="AA31" s="129" t="str">
        <f t="shared" si="14"/>
        <v/>
      </c>
      <c r="AB31" s="130" t="str">
        <f t="shared" si="33"/>
        <v/>
      </c>
      <c r="AC31" s="131" t="str">
        <f t="shared" ref="AC31:AC32" si="3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211"/>
      <c r="B32" s="214"/>
      <c r="C32" s="214"/>
      <c r="D32" s="214"/>
      <c r="E32" s="217"/>
      <c r="F32" s="214"/>
      <c r="G32" s="220"/>
      <c r="H32" s="223"/>
      <c r="I32" s="205"/>
      <c r="J32" s="226"/>
      <c r="K32" s="205">
        <f>IF(NOT(ISERROR(MATCH(J32,_xlfn.ANCHORARRAY(E43),0))),I45&amp;"Por favor no seleccionar los criterios de impacto",J32)</f>
        <v>0</v>
      </c>
      <c r="L32" s="223"/>
      <c r="M32" s="205"/>
      <c r="N32" s="208"/>
      <c r="O32" s="123">
        <v>6</v>
      </c>
      <c r="P32" s="124"/>
      <c r="Q32" s="125" t="str">
        <f t="shared" si="31"/>
        <v/>
      </c>
      <c r="R32" s="126"/>
      <c r="S32" s="126"/>
      <c r="T32" s="127" t="str">
        <f t="shared" si="28"/>
        <v/>
      </c>
      <c r="U32" s="126"/>
      <c r="V32" s="126"/>
      <c r="W32" s="126"/>
      <c r="X32" s="128" t="str">
        <f t="shared" si="32"/>
        <v/>
      </c>
      <c r="Y32" s="129" t="str">
        <f t="shared" si="12"/>
        <v/>
      </c>
      <c r="Z32" s="130" t="str">
        <f t="shared" si="29"/>
        <v/>
      </c>
      <c r="AA32" s="129" t="str">
        <f t="shared" si="14"/>
        <v/>
      </c>
      <c r="AB32" s="130" t="str">
        <f t="shared" si="33"/>
        <v/>
      </c>
      <c r="AC32" s="131" t="str">
        <f t="shared" si="34"/>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209">
        <v>9</v>
      </c>
      <c r="B33" s="212"/>
      <c r="C33" s="212"/>
      <c r="D33" s="212"/>
      <c r="E33" s="215"/>
      <c r="F33" s="212"/>
      <c r="G33" s="218"/>
      <c r="H33" s="221" t="str">
        <f>IF(G33&lt;=0,"",IF(G33&lt;=2,"Muy Baja",IF(G33&lt;=24,"Baja",IF(G33&lt;=500,"Media",IF(G33&lt;=5000,"Alta","Muy Alta")))))</f>
        <v/>
      </c>
      <c r="I33" s="203" t="str">
        <f>IF(H33="","",IF(H33="Muy Baja",0.2,IF(H33="Baja",0.4,IF(H33="Media",0.6,IF(H33="Alta",0.8,IF(H33="Muy Alta",1,))))))</f>
        <v/>
      </c>
      <c r="J33" s="224"/>
      <c r="K33" s="203">
        <f>IF(NOT(ISERROR(MATCH(J33,'Tabla Impacto'!$B$221:$B$223,0))),'Tabla Impacto'!$F$223&amp;"Por favor no seleccionar los criterios de impacto(Afectación Económica o presupuestal y Pérdida Reputacional)",J33)</f>
        <v>0</v>
      </c>
      <c r="L33" s="221" t="str">
        <f>IF(OR(K33='Tabla Impacto'!$C$11,K33='Tabla Impacto'!$D$11),"Leve",IF(OR(K33='Tabla Impacto'!$C$12,K33='Tabla Impacto'!$D$12),"Menor",IF(OR(K33='Tabla Impacto'!$C$13,K33='Tabla Impacto'!$D$13),"Moderado",IF(OR(K33='Tabla Impacto'!$C$14,K33='Tabla Impacto'!$D$14),"Mayor",IF(OR(K33='Tabla Impacto'!$C$15,K33='Tabla Impacto'!$D$15),"Catastrófico","")))))</f>
        <v/>
      </c>
      <c r="M33" s="203" t="str">
        <f>IF(L33="","",IF(L33="Leve",0.2,IF(L33="Menor",0.4,IF(L33="Moderado",0.6,IF(L33="Mayor",0.8,IF(L33="Catastrófico",1,))))))</f>
        <v/>
      </c>
      <c r="N33" s="206" t="str">
        <f>IF(OR(AND(H33="Muy Baja",L33="Leve"),AND(H33="Muy Baja",L33="Menor"),AND(H33="Baja",L33="Leve")),"Bajo",IF(OR(AND(H33="Muy baja",L33="Moderado"),AND(H33="Baja",L33="Menor"),AND(H33="Baja",L33="Moderado"),AND(H33="Media",L33="Leve"),AND(H33="Media",L33="Menor"),AND(H33="Media",L33="Moderado"),AND(H33="Alta",L33="Leve"),AND(H33="Alta",L33="Menor")),"Moderado",IF(OR(AND(H33="Muy Baja",L33="Mayor"),AND(H33="Baja",L33="Mayor"),AND(H33="Media",L33="Mayor"),AND(H33="Alta",L33="Moderado"),AND(H33="Alta",L33="Mayor"),AND(H33="Muy Alta",L33="Leve"),AND(H33="Muy Alta",L33="Menor"),AND(H33="Muy Alta",L33="Moderado"),AND(H33="Muy Alta",L33="Mayor")),"Alto",IF(OR(AND(H33="Muy Baja",L33="Catastrófico"),AND(H33="Baja",L33="Catastrófico"),AND(H33="Media",L33="Catastrófico"),AND(H33="Alta",L33="Catastrófico"),AND(H33="Muy Alta",L33="Catastrófico")),"Extremo",""))))</f>
        <v/>
      </c>
      <c r="O33" s="123">
        <v>1</v>
      </c>
      <c r="P33" s="124"/>
      <c r="Q33" s="125" t="str">
        <f>IF(OR(R33="Preventivo",R33="Detectivo"),"Probabilidad",IF(R33="Correctivo","Impacto",""))</f>
        <v/>
      </c>
      <c r="R33" s="126"/>
      <c r="S33" s="126"/>
      <c r="T33" s="127" t="str">
        <f>IF(AND(R33="Preventivo",S33="Automático"),"50%",IF(AND(R33="Preventivo",S33="Manual"),"40%",IF(AND(R33="Detectivo",S33="Automático"),"40%",IF(AND(R33="Detectivo",S33="Manual"),"30%",IF(AND(R33="Correctivo",S33="Automático"),"35%",IF(AND(R33="Correctivo",S33="Manual"),"25%",""))))))</f>
        <v/>
      </c>
      <c r="U33" s="126"/>
      <c r="V33" s="126"/>
      <c r="W33" s="126"/>
      <c r="X33" s="128" t="str">
        <f>IFERROR(IF(Q33="Probabilidad",(I33-(+I33*T33)),IF(Q33="Impacto",I33,"")),"")</f>
        <v/>
      </c>
      <c r="Y33" s="129" t="str">
        <f>IFERROR(IF(X33="","",IF(X33&lt;=0.2,"Muy Baja",IF(X33&lt;=0.4,"Baja",IF(X33&lt;=0.6,"Media",IF(X33&lt;=0.8,"Alta","Muy Alta"))))),"")</f>
        <v/>
      </c>
      <c r="Z33" s="130" t="str">
        <f>+X33</f>
        <v/>
      </c>
      <c r="AA33" s="129" t="str">
        <f>IFERROR(IF(AB33="","",IF(AB33&lt;=0.2,"Leve",IF(AB33&lt;=0.4,"Menor",IF(AB33&lt;=0.6,"Moderado",IF(AB33&lt;=0.8,"Mayor","Catastrófico"))))),"")</f>
        <v/>
      </c>
      <c r="AB33" s="130" t="str">
        <f>IFERROR(IF(Q33="Impacto",(M33-(+M33*T33)),IF(Q33="Probabilidad",M33,"")),"")</f>
        <v/>
      </c>
      <c r="AC33" s="131"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210"/>
      <c r="B34" s="213"/>
      <c r="C34" s="213"/>
      <c r="D34" s="213"/>
      <c r="E34" s="216"/>
      <c r="F34" s="213"/>
      <c r="G34" s="219"/>
      <c r="H34" s="222"/>
      <c r="I34" s="204"/>
      <c r="J34" s="225"/>
      <c r="K34" s="204">
        <f>IF(NOT(ISERROR(MATCH(J34,_xlfn.ANCHORARRAY(E45),0))),I47&amp;"Por favor no seleccionar los criterios de impacto",J34)</f>
        <v>0</v>
      </c>
      <c r="L34" s="222"/>
      <c r="M34" s="204"/>
      <c r="N34" s="207"/>
      <c r="O34" s="123">
        <v>2</v>
      </c>
      <c r="P34" s="124"/>
      <c r="Q34" s="125" t="str">
        <f>IF(OR(R34="Preventivo",R34="Detectivo"),"Probabilidad",IF(R34="Correctivo","Impacto",""))</f>
        <v/>
      </c>
      <c r="R34" s="126"/>
      <c r="S34" s="126"/>
      <c r="T34" s="127" t="str">
        <f t="shared" ref="T34:T38" si="35">IF(AND(R34="Preventivo",S34="Automático"),"50%",IF(AND(R34="Preventivo",S34="Manual"),"40%",IF(AND(R34="Detectivo",S34="Automático"),"40%",IF(AND(R34="Detectivo",S34="Manual"),"30%",IF(AND(R34="Correctivo",S34="Automático"),"35%",IF(AND(R34="Correctivo",S34="Manual"),"25%",""))))))</f>
        <v/>
      </c>
      <c r="U34" s="126"/>
      <c r="V34" s="126"/>
      <c r="W34" s="126"/>
      <c r="X34" s="128" t="str">
        <f>IFERROR(IF(AND(Q33="Probabilidad",Q34="Probabilidad"),(Z33-(+Z33*T34)),IF(Q34="Probabilidad",(I33-(+I33*T34)),IF(Q34="Impacto",Z33,""))),"")</f>
        <v/>
      </c>
      <c r="Y34" s="129" t="str">
        <f t="shared" si="12"/>
        <v/>
      </c>
      <c r="Z34" s="130" t="str">
        <f t="shared" ref="Z34:Z38" si="36">+X34</f>
        <v/>
      </c>
      <c r="AA34" s="129" t="str">
        <f t="shared" si="14"/>
        <v/>
      </c>
      <c r="AB34" s="130" t="str">
        <f>IFERROR(IF(AND(Q33="Impacto",Q34="Impacto"),(AB33-(+AB33*T34)),IF(Q34="Impacto",(M33-(+M33*T34)),IF(Q34="Probabilidad",AB33,""))),"")</f>
        <v/>
      </c>
      <c r="AC34" s="131" t="str">
        <f t="shared" ref="AC34:AC35" si="37">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210"/>
      <c r="B35" s="213"/>
      <c r="C35" s="213"/>
      <c r="D35" s="213"/>
      <c r="E35" s="216"/>
      <c r="F35" s="213"/>
      <c r="G35" s="219"/>
      <c r="H35" s="222"/>
      <c r="I35" s="204"/>
      <c r="J35" s="225"/>
      <c r="K35" s="204">
        <f>IF(NOT(ISERROR(MATCH(J35,_xlfn.ANCHORARRAY(E46),0))),I48&amp;"Por favor no seleccionar los criterios de impacto",J35)</f>
        <v>0</v>
      </c>
      <c r="L35" s="222"/>
      <c r="M35" s="204"/>
      <c r="N35" s="207"/>
      <c r="O35" s="123">
        <v>3</v>
      </c>
      <c r="P35" s="136"/>
      <c r="Q35" s="125" t="str">
        <f>IF(OR(R35="Preventivo",R35="Detectivo"),"Probabilidad",IF(R35="Correctivo","Impacto",""))</f>
        <v/>
      </c>
      <c r="R35" s="126"/>
      <c r="S35" s="126"/>
      <c r="T35" s="127" t="str">
        <f t="shared" si="35"/>
        <v/>
      </c>
      <c r="U35" s="126"/>
      <c r="V35" s="126"/>
      <c r="W35" s="126"/>
      <c r="X35" s="128" t="str">
        <f>IFERROR(IF(AND(Q34="Probabilidad",Q35="Probabilidad"),(Z34-(+Z34*T35)),IF(AND(Q34="Impacto",Q35="Probabilidad"),(Z33-(+Z33*T35)),IF(Q35="Impacto",Z34,""))),"")</f>
        <v/>
      </c>
      <c r="Y35" s="129" t="str">
        <f t="shared" si="12"/>
        <v/>
      </c>
      <c r="Z35" s="130" t="str">
        <f t="shared" si="36"/>
        <v/>
      </c>
      <c r="AA35" s="129" t="str">
        <f t="shared" si="14"/>
        <v/>
      </c>
      <c r="AB35" s="130" t="str">
        <f>IFERROR(IF(AND(Q34="Impacto",Q35="Impacto"),(AB34-(+AB34*T35)),IF(AND(Q34="Probabilidad",Q35="Impacto"),(AB33-(+AB33*T35)),IF(Q35="Probabilidad",AB34,""))),"")</f>
        <v/>
      </c>
      <c r="AC35" s="131" t="str">
        <f t="shared" si="37"/>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
      <c r="A36" s="210"/>
      <c r="B36" s="213"/>
      <c r="C36" s="213"/>
      <c r="D36" s="213"/>
      <c r="E36" s="216"/>
      <c r="F36" s="213"/>
      <c r="G36" s="219"/>
      <c r="H36" s="222"/>
      <c r="I36" s="204"/>
      <c r="J36" s="225"/>
      <c r="K36" s="204">
        <f>IF(NOT(ISERROR(MATCH(J36,_xlfn.ANCHORARRAY(E47),0))),I49&amp;"Por favor no seleccionar los criterios de impacto",J36)</f>
        <v>0</v>
      </c>
      <c r="L36" s="222"/>
      <c r="M36" s="204"/>
      <c r="N36" s="207"/>
      <c r="O36" s="123">
        <v>4</v>
      </c>
      <c r="P36" s="124"/>
      <c r="Q36" s="125" t="str">
        <f t="shared" ref="Q36:Q38" si="38">IF(OR(R36="Preventivo",R36="Detectivo"),"Probabilidad",IF(R36="Correctivo","Impacto",""))</f>
        <v/>
      </c>
      <c r="R36" s="126"/>
      <c r="S36" s="126"/>
      <c r="T36" s="127" t="str">
        <f t="shared" si="35"/>
        <v/>
      </c>
      <c r="U36" s="126"/>
      <c r="V36" s="126"/>
      <c r="W36" s="126"/>
      <c r="X36" s="128" t="str">
        <f t="shared" ref="X36:X38" si="39">IFERROR(IF(AND(Q35="Probabilidad",Q36="Probabilidad"),(Z35-(+Z35*T36)),IF(AND(Q35="Impacto",Q36="Probabilidad"),(Z34-(+Z34*T36)),IF(Q36="Impacto",Z35,""))),"")</f>
        <v/>
      </c>
      <c r="Y36" s="129" t="str">
        <f t="shared" si="12"/>
        <v/>
      </c>
      <c r="Z36" s="130" t="str">
        <f t="shared" si="36"/>
        <v/>
      </c>
      <c r="AA36" s="129" t="str">
        <f t="shared" si="14"/>
        <v/>
      </c>
      <c r="AB36" s="130" t="str">
        <f t="shared" ref="AB36:AB38" si="40">IFERROR(IF(AND(Q35="Impacto",Q36="Impacto"),(AB35-(+AB35*T36)),IF(AND(Q35="Probabilidad",Q36="Impacto"),(AB34-(+AB34*T36)),IF(Q36="Probabilidad",AB35,""))),"")</f>
        <v/>
      </c>
      <c r="AC36" s="131"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
      <c r="A37" s="210"/>
      <c r="B37" s="213"/>
      <c r="C37" s="213"/>
      <c r="D37" s="213"/>
      <c r="E37" s="216"/>
      <c r="F37" s="213"/>
      <c r="G37" s="219"/>
      <c r="H37" s="222"/>
      <c r="I37" s="204"/>
      <c r="J37" s="225"/>
      <c r="K37" s="204">
        <f>IF(NOT(ISERROR(MATCH(J37,_xlfn.ANCHORARRAY(E48),0))),I50&amp;"Por favor no seleccionar los criterios de impacto",J37)</f>
        <v>0</v>
      </c>
      <c r="L37" s="222"/>
      <c r="M37" s="204"/>
      <c r="N37" s="207"/>
      <c r="O37" s="123">
        <v>5</v>
      </c>
      <c r="P37" s="124"/>
      <c r="Q37" s="125" t="str">
        <f t="shared" si="38"/>
        <v/>
      </c>
      <c r="R37" s="126"/>
      <c r="S37" s="126"/>
      <c r="T37" s="127" t="str">
        <f t="shared" si="35"/>
        <v/>
      </c>
      <c r="U37" s="126"/>
      <c r="V37" s="126"/>
      <c r="W37" s="126"/>
      <c r="X37" s="128" t="str">
        <f t="shared" si="39"/>
        <v/>
      </c>
      <c r="Y37" s="129" t="str">
        <f t="shared" si="12"/>
        <v/>
      </c>
      <c r="Z37" s="130" t="str">
        <f t="shared" si="36"/>
        <v/>
      </c>
      <c r="AA37" s="129" t="str">
        <f t="shared" si="14"/>
        <v/>
      </c>
      <c r="AB37" s="130" t="str">
        <f t="shared" si="40"/>
        <v/>
      </c>
      <c r="AC37" s="131" t="str">
        <f t="shared" ref="AC37:AC38" si="4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
      <c r="A38" s="211"/>
      <c r="B38" s="214"/>
      <c r="C38" s="214"/>
      <c r="D38" s="214"/>
      <c r="E38" s="217"/>
      <c r="F38" s="214"/>
      <c r="G38" s="220"/>
      <c r="H38" s="223"/>
      <c r="I38" s="205"/>
      <c r="J38" s="226"/>
      <c r="K38" s="205">
        <f>IF(NOT(ISERROR(MATCH(J38,_xlfn.ANCHORARRAY(E49),0))),I51&amp;"Por favor no seleccionar los criterios de impacto",J38)</f>
        <v>0</v>
      </c>
      <c r="L38" s="223"/>
      <c r="M38" s="205"/>
      <c r="N38" s="208"/>
      <c r="O38" s="123">
        <v>6</v>
      </c>
      <c r="P38" s="124"/>
      <c r="Q38" s="125" t="str">
        <f t="shared" si="38"/>
        <v/>
      </c>
      <c r="R38" s="126"/>
      <c r="S38" s="126"/>
      <c r="T38" s="127" t="str">
        <f t="shared" si="35"/>
        <v/>
      </c>
      <c r="U38" s="126"/>
      <c r="V38" s="126"/>
      <c r="W38" s="126"/>
      <c r="X38" s="128" t="str">
        <f t="shared" si="39"/>
        <v/>
      </c>
      <c r="Y38" s="129" t="str">
        <f t="shared" si="12"/>
        <v/>
      </c>
      <c r="Z38" s="130" t="str">
        <f t="shared" si="36"/>
        <v/>
      </c>
      <c r="AA38" s="129" t="str">
        <f t="shared" si="14"/>
        <v/>
      </c>
      <c r="AB38" s="130" t="str">
        <f t="shared" si="40"/>
        <v/>
      </c>
      <c r="AC38" s="131" t="str">
        <f t="shared" si="41"/>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
      <c r="A39" s="209">
        <v>10</v>
      </c>
      <c r="B39" s="212"/>
      <c r="C39" s="212"/>
      <c r="D39" s="212"/>
      <c r="E39" s="215"/>
      <c r="F39" s="212"/>
      <c r="G39" s="218"/>
      <c r="H39" s="221" t="str">
        <f>IF(G39&lt;=0,"",IF(G39&lt;=2,"Muy Baja",IF(G39&lt;=24,"Baja",IF(G39&lt;=500,"Media",IF(G39&lt;=5000,"Alta","Muy Alta")))))</f>
        <v/>
      </c>
      <c r="I39" s="203" t="str">
        <f>IF(H39="","",IF(H39="Muy Baja",0.2,IF(H39="Baja",0.4,IF(H39="Media",0.6,IF(H39="Alta",0.8,IF(H39="Muy Alta",1,))))))</f>
        <v/>
      </c>
      <c r="J39" s="224"/>
      <c r="K39" s="203">
        <f>IF(NOT(ISERROR(MATCH(J39,'Tabla Impacto'!$B$221:$B$223,0))),'Tabla Impacto'!$F$223&amp;"Por favor no seleccionar los criterios de impacto(Afectación Económica o presupuestal y Pérdida Reputacional)",J39)</f>
        <v>0</v>
      </c>
      <c r="L39" s="221" t="str">
        <f>IF(OR(K39='Tabla Impacto'!$C$11,K39='Tabla Impacto'!$D$11),"Leve",IF(OR(K39='Tabla Impacto'!$C$12,K39='Tabla Impacto'!$D$12),"Menor",IF(OR(K39='Tabla Impacto'!$C$13,K39='Tabla Impacto'!$D$13),"Moderado",IF(OR(K39='Tabla Impacto'!$C$14,K39='Tabla Impacto'!$D$14),"Mayor",IF(OR(K39='Tabla Impacto'!$C$15,K39='Tabla Impacto'!$D$15),"Catastrófico","")))))</f>
        <v/>
      </c>
      <c r="M39" s="203" t="str">
        <f>IF(L39="","",IF(L39="Leve",0.2,IF(L39="Menor",0.4,IF(L39="Moderado",0.6,IF(L39="Mayor",0.8,IF(L39="Catastrófico",1,))))))</f>
        <v/>
      </c>
      <c r="N39" s="206" t="str">
        <f>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123">
        <v>1</v>
      </c>
      <c r="P39" s="124"/>
      <c r="Q39" s="125" t="str">
        <f>IF(OR(R39="Preventivo",R39="Detectivo"),"Probabilidad",IF(R39="Correctivo","Impacto",""))</f>
        <v/>
      </c>
      <c r="R39" s="126"/>
      <c r="S39" s="126"/>
      <c r="T39" s="127" t="str">
        <f>IF(AND(R39="Preventivo",S39="Automático"),"50%",IF(AND(R39="Preventivo",S39="Manual"),"40%",IF(AND(R39="Detectivo",S39="Automático"),"40%",IF(AND(R39="Detectivo",S39="Manual"),"30%",IF(AND(R39="Correctivo",S39="Automático"),"35%",IF(AND(R39="Correctivo",S39="Manual"),"25%",""))))))</f>
        <v/>
      </c>
      <c r="U39" s="126"/>
      <c r="V39" s="126"/>
      <c r="W39" s="126"/>
      <c r="X39" s="128" t="str">
        <f>IFERROR(IF(Q39="Probabilidad",(I39-(+I39*T39)),IF(Q39="Impacto",I39,"")),"")</f>
        <v/>
      </c>
      <c r="Y39" s="129" t="str">
        <f>IFERROR(IF(X39="","",IF(X39&lt;=0.2,"Muy Baja",IF(X39&lt;=0.4,"Baja",IF(X39&lt;=0.6,"Media",IF(X39&lt;=0.8,"Alta","Muy Alta"))))),"")</f>
        <v/>
      </c>
      <c r="Z39" s="130" t="str">
        <f>+X39</f>
        <v/>
      </c>
      <c r="AA39" s="129" t="str">
        <f>IFERROR(IF(AB39="","",IF(AB39&lt;=0.2,"Leve",IF(AB39&lt;=0.4,"Menor",IF(AB39&lt;=0.6,"Moderado",IF(AB39&lt;=0.8,"Mayor","Catastrófico"))))),"")</f>
        <v/>
      </c>
      <c r="AB39" s="130" t="str">
        <f>IFERROR(IF(Q39="Impacto",(M39-(+M39*T39)),IF(Q39="Probabilidad",M39,"")),"")</f>
        <v/>
      </c>
      <c r="AC39" s="131"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
      <c r="A40" s="210"/>
      <c r="B40" s="213"/>
      <c r="C40" s="213"/>
      <c r="D40" s="213"/>
      <c r="E40" s="216"/>
      <c r="F40" s="213"/>
      <c r="G40" s="219"/>
      <c r="H40" s="222"/>
      <c r="I40" s="204"/>
      <c r="J40" s="225"/>
      <c r="K40" s="204">
        <f>IF(NOT(ISERROR(MATCH(J40,_xlfn.ANCHORARRAY(E51),0))),I53&amp;"Por favor no seleccionar los criterios de impacto",J40)</f>
        <v>0</v>
      </c>
      <c r="L40" s="222"/>
      <c r="M40" s="204"/>
      <c r="N40" s="207"/>
      <c r="O40" s="123">
        <v>2</v>
      </c>
      <c r="P40" s="124"/>
      <c r="Q40" s="125" t="str">
        <f>IF(OR(R40="Preventivo",R40="Detectivo"),"Probabilidad",IF(R40="Correctivo","Impacto",""))</f>
        <v/>
      </c>
      <c r="R40" s="126"/>
      <c r="S40" s="126"/>
      <c r="T40" s="127" t="str">
        <f t="shared" ref="T40:T44" si="42">IF(AND(R40="Preventivo",S40="Automático"),"50%",IF(AND(R40="Preventivo",S40="Manual"),"40%",IF(AND(R40="Detectivo",S40="Automático"),"40%",IF(AND(R40="Detectivo",S40="Manual"),"30%",IF(AND(R40="Correctivo",S40="Automático"),"35%",IF(AND(R40="Correctivo",S40="Manual"),"25%",""))))))</f>
        <v/>
      </c>
      <c r="U40" s="126"/>
      <c r="V40" s="126"/>
      <c r="W40" s="126"/>
      <c r="X40" s="128" t="str">
        <f>IFERROR(IF(AND(Q39="Probabilidad",Q40="Probabilidad"),(Z39-(+Z39*T40)),IF(Q40="Probabilidad",(I39-(+I39*T40)),IF(Q40="Impacto",Z39,""))),"")</f>
        <v/>
      </c>
      <c r="Y40" s="129" t="str">
        <f t="shared" si="12"/>
        <v/>
      </c>
      <c r="Z40" s="130" t="str">
        <f t="shared" ref="Z40:Z44" si="43">+X40</f>
        <v/>
      </c>
      <c r="AA40" s="129" t="str">
        <f t="shared" si="14"/>
        <v/>
      </c>
      <c r="AB40" s="130" t="str">
        <f>IFERROR(IF(AND(Q39="Impacto",Q40="Impacto"),(AB39-(+AB39*T40)),IF(Q40="Impacto",(M39-(+M39*T40)),IF(Q40="Probabilidad",AB39,""))),"")</f>
        <v/>
      </c>
      <c r="AC40" s="131" t="str">
        <f t="shared" ref="AC40:AC41" si="44">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row>
    <row r="41" spans="1:68" ht="35.25" customHeight="1" x14ac:dyDescent="0.3">
      <c r="A41" s="210"/>
      <c r="B41" s="213"/>
      <c r="C41" s="213"/>
      <c r="D41" s="213"/>
      <c r="E41" s="216"/>
      <c r="F41" s="213"/>
      <c r="G41" s="219"/>
      <c r="H41" s="222"/>
      <c r="I41" s="204"/>
      <c r="J41" s="225"/>
      <c r="K41" s="204">
        <f>IF(NOT(ISERROR(MATCH(J41,_xlfn.ANCHORARRAY(E52),0))),I54&amp;"Por favor no seleccionar los criterios de impacto",J41)</f>
        <v>0</v>
      </c>
      <c r="L41" s="222"/>
      <c r="M41" s="204"/>
      <c r="N41" s="207"/>
      <c r="O41" s="123">
        <v>3</v>
      </c>
      <c r="P41" s="136"/>
      <c r="Q41" s="125" t="str">
        <f>IF(OR(R41="Preventivo",R41="Detectivo"),"Probabilidad",IF(R41="Correctivo","Impacto",""))</f>
        <v/>
      </c>
      <c r="R41" s="126"/>
      <c r="S41" s="126"/>
      <c r="T41" s="127" t="str">
        <f t="shared" si="42"/>
        <v/>
      </c>
      <c r="U41" s="126"/>
      <c r="V41" s="126"/>
      <c r="W41" s="126"/>
      <c r="X41" s="128" t="str">
        <f>IFERROR(IF(AND(Q40="Probabilidad",Q41="Probabilidad"),(Z40-(+Z40*T41)),IF(AND(Q40="Impacto",Q41="Probabilidad"),(Z39-(+Z39*T41)),IF(Q41="Impacto",Z40,""))),"")</f>
        <v/>
      </c>
      <c r="Y41" s="129" t="str">
        <f t="shared" si="12"/>
        <v/>
      </c>
      <c r="Z41" s="130" t="str">
        <f t="shared" si="43"/>
        <v/>
      </c>
      <c r="AA41" s="129" t="str">
        <f t="shared" si="14"/>
        <v/>
      </c>
      <c r="AB41" s="130" t="str">
        <f>IFERROR(IF(AND(Q40="Impacto",Q41="Impacto"),(AB40-(+AB40*T41)),IF(AND(Q40="Probabilidad",Q41="Impacto"),(AB39-(+AB39*T41)),IF(Q41="Probabilidad",AB40,""))),"")</f>
        <v/>
      </c>
      <c r="AC41" s="131" t="str">
        <f t="shared" si="44"/>
        <v/>
      </c>
      <c r="AD41" s="132"/>
      <c r="AE41" s="133"/>
      <c r="AF41" s="134"/>
      <c r="AG41" s="135"/>
      <c r="AH41" s="135"/>
      <c r="AI41" s="133"/>
      <c r="AJ41" s="134"/>
    </row>
    <row r="42" spans="1:68" ht="35.25" customHeight="1" x14ac:dyDescent="0.3">
      <c r="A42" s="210"/>
      <c r="B42" s="213"/>
      <c r="C42" s="213"/>
      <c r="D42" s="213"/>
      <c r="E42" s="216"/>
      <c r="F42" s="213"/>
      <c r="G42" s="219"/>
      <c r="H42" s="222"/>
      <c r="I42" s="204"/>
      <c r="J42" s="225"/>
      <c r="K42" s="204">
        <f>IF(NOT(ISERROR(MATCH(J42,_xlfn.ANCHORARRAY(E53),0))),I55&amp;"Por favor no seleccionar los criterios de impacto",J42)</f>
        <v>0</v>
      </c>
      <c r="L42" s="222"/>
      <c r="M42" s="204"/>
      <c r="N42" s="207"/>
      <c r="O42" s="123">
        <v>4</v>
      </c>
      <c r="P42" s="124"/>
      <c r="Q42" s="125" t="str">
        <f t="shared" ref="Q42:Q44" si="45">IF(OR(R42="Preventivo",R42="Detectivo"),"Probabilidad",IF(R42="Correctivo","Impacto",""))</f>
        <v/>
      </c>
      <c r="R42" s="126"/>
      <c r="S42" s="126"/>
      <c r="T42" s="127" t="str">
        <f t="shared" si="42"/>
        <v/>
      </c>
      <c r="U42" s="126"/>
      <c r="V42" s="126"/>
      <c r="W42" s="126"/>
      <c r="X42" s="128" t="str">
        <f t="shared" ref="X42:X44" si="46">IFERROR(IF(AND(Q41="Probabilidad",Q42="Probabilidad"),(Z41-(+Z41*T42)),IF(AND(Q41="Impacto",Q42="Probabilidad"),(Z40-(+Z40*T42)),IF(Q42="Impacto",Z41,""))),"")</f>
        <v/>
      </c>
      <c r="Y42" s="129" t="str">
        <f t="shared" si="12"/>
        <v/>
      </c>
      <c r="Z42" s="130" t="str">
        <f t="shared" si="43"/>
        <v/>
      </c>
      <c r="AA42" s="129" t="str">
        <f t="shared" si="14"/>
        <v/>
      </c>
      <c r="AB42" s="130" t="str">
        <f t="shared" ref="AB42:AB44" si="47">IFERROR(IF(AND(Q41="Impacto",Q42="Impacto"),(AB41-(+AB41*T42)),IF(AND(Q41="Probabilidad",Q42="Impacto"),(AB40-(+AB40*T42)),IF(Q42="Probabilidad",AB41,""))),"")</f>
        <v/>
      </c>
      <c r="AC42" s="131"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2"/>
      <c r="AE42" s="133"/>
      <c r="AF42" s="134"/>
      <c r="AG42" s="135"/>
      <c r="AH42" s="135"/>
      <c r="AI42" s="133"/>
      <c r="AJ42" s="134"/>
    </row>
    <row r="43" spans="1:68" ht="35.25" customHeight="1" x14ac:dyDescent="0.3">
      <c r="A43" s="210"/>
      <c r="B43" s="213"/>
      <c r="C43" s="213"/>
      <c r="D43" s="213"/>
      <c r="E43" s="216"/>
      <c r="F43" s="213"/>
      <c r="G43" s="219"/>
      <c r="H43" s="222"/>
      <c r="I43" s="204"/>
      <c r="J43" s="225"/>
      <c r="K43" s="204">
        <f>IF(NOT(ISERROR(MATCH(J43,_xlfn.ANCHORARRAY(E54),0))),I56&amp;"Por favor no seleccionar los criterios de impacto",J43)</f>
        <v>0</v>
      </c>
      <c r="L43" s="222"/>
      <c r="M43" s="204"/>
      <c r="N43" s="207"/>
      <c r="O43" s="123">
        <v>5</v>
      </c>
      <c r="P43" s="124"/>
      <c r="Q43" s="125" t="str">
        <f t="shared" si="45"/>
        <v/>
      </c>
      <c r="R43" s="126"/>
      <c r="S43" s="126"/>
      <c r="T43" s="127" t="str">
        <f t="shared" si="42"/>
        <v/>
      </c>
      <c r="U43" s="126"/>
      <c r="V43" s="126"/>
      <c r="W43" s="126"/>
      <c r="X43" s="128" t="str">
        <f t="shared" si="46"/>
        <v/>
      </c>
      <c r="Y43" s="129" t="str">
        <f t="shared" si="12"/>
        <v/>
      </c>
      <c r="Z43" s="130" t="str">
        <f t="shared" si="43"/>
        <v/>
      </c>
      <c r="AA43" s="129" t="str">
        <f t="shared" si="14"/>
        <v/>
      </c>
      <c r="AB43" s="130" t="str">
        <f t="shared" si="47"/>
        <v/>
      </c>
      <c r="AC43" s="131" t="str">
        <f t="shared" ref="AC43:AC44" si="4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row>
    <row r="44" spans="1:68" ht="35.25" customHeight="1" x14ac:dyDescent="0.3">
      <c r="A44" s="211"/>
      <c r="B44" s="214"/>
      <c r="C44" s="214"/>
      <c r="D44" s="214"/>
      <c r="E44" s="217"/>
      <c r="F44" s="214"/>
      <c r="G44" s="220"/>
      <c r="H44" s="223"/>
      <c r="I44" s="205"/>
      <c r="J44" s="226"/>
      <c r="K44" s="205">
        <f>IF(NOT(ISERROR(MATCH(J44,_xlfn.ANCHORARRAY(E55),0))),I57&amp;"Por favor no seleccionar los criterios de impacto",J44)</f>
        <v>0</v>
      </c>
      <c r="L44" s="223"/>
      <c r="M44" s="205"/>
      <c r="N44" s="208"/>
      <c r="O44" s="123">
        <v>6</v>
      </c>
      <c r="P44" s="124"/>
      <c r="Q44" s="125" t="str">
        <f t="shared" si="45"/>
        <v/>
      </c>
      <c r="R44" s="126"/>
      <c r="S44" s="126"/>
      <c r="T44" s="127" t="str">
        <f t="shared" si="42"/>
        <v/>
      </c>
      <c r="U44" s="126"/>
      <c r="V44" s="126"/>
      <c r="W44" s="126"/>
      <c r="X44" s="128" t="str">
        <f t="shared" si="46"/>
        <v/>
      </c>
      <c r="Y44" s="129" t="str">
        <f t="shared" si="12"/>
        <v/>
      </c>
      <c r="Z44" s="130" t="str">
        <f t="shared" si="43"/>
        <v/>
      </c>
      <c r="AA44" s="129" t="str">
        <f t="shared" si="14"/>
        <v/>
      </c>
      <c r="AB44" s="130" t="str">
        <f t="shared" si="47"/>
        <v/>
      </c>
      <c r="AC44" s="131" t="str">
        <f t="shared" si="48"/>
        <v/>
      </c>
      <c r="AD44" s="132"/>
      <c r="AE44" s="133"/>
      <c r="AF44" s="134"/>
      <c r="AG44" s="135"/>
      <c r="AH44" s="135"/>
      <c r="AI44" s="133"/>
      <c r="AJ44" s="134"/>
    </row>
    <row r="45" spans="1:68" ht="49.5" customHeight="1" x14ac:dyDescent="0.3">
      <c r="A45" s="6"/>
      <c r="B45" s="200" t="s">
        <v>131</v>
      </c>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2"/>
    </row>
    <row r="47" spans="1:68" x14ac:dyDescent="0.3">
      <c r="A47" s="1"/>
      <c r="B47" s="24" t="s">
        <v>143</v>
      </c>
      <c r="C47" s="1"/>
      <c r="D47" s="1"/>
      <c r="F47" s="1"/>
    </row>
  </sheetData>
  <dataConsolidate/>
  <mergeCells count="115">
    <mergeCell ref="AE8:AE9"/>
    <mergeCell ref="AJ8:AJ9"/>
    <mergeCell ref="AI8:AI9"/>
    <mergeCell ref="AH8:AH9"/>
    <mergeCell ref="AG8:AG9"/>
    <mergeCell ref="AF8:AF9"/>
    <mergeCell ref="C5:Q5"/>
    <mergeCell ref="AA8:AA9"/>
    <mergeCell ref="Y8:Y9"/>
    <mergeCell ref="Z8:Z9"/>
    <mergeCell ref="G8:G9"/>
    <mergeCell ref="H8:H9"/>
    <mergeCell ref="I8:I9"/>
    <mergeCell ref="L8:L9"/>
    <mergeCell ref="M8:M9"/>
    <mergeCell ref="AD8:AD9"/>
    <mergeCell ref="C6:N6"/>
    <mergeCell ref="O8:O9"/>
    <mergeCell ref="AC8:AC9"/>
    <mergeCell ref="AB8:AB9"/>
    <mergeCell ref="X8:X9"/>
    <mergeCell ref="P8:P9"/>
    <mergeCell ref="O4:Q4"/>
    <mergeCell ref="N8:N9"/>
    <mergeCell ref="J8:J9"/>
    <mergeCell ref="K8:K9"/>
    <mergeCell ref="Q8:Q9"/>
    <mergeCell ref="R8:W8"/>
    <mergeCell ref="N21:N26"/>
    <mergeCell ref="F21:F26"/>
    <mergeCell ref="G21:G26"/>
    <mergeCell ref="H21:H26"/>
    <mergeCell ref="I21:I26"/>
    <mergeCell ref="A4:B4"/>
    <mergeCell ref="A5:B5"/>
    <mergeCell ref="A6:B6"/>
    <mergeCell ref="A8:A9"/>
    <mergeCell ref="F8:F9"/>
    <mergeCell ref="E8:E9"/>
    <mergeCell ref="D8:D9"/>
    <mergeCell ref="C8:C9"/>
    <mergeCell ref="B8:B9"/>
    <mergeCell ref="C4:N4"/>
    <mergeCell ref="E27:E32"/>
    <mergeCell ref="A21:A26"/>
    <mergeCell ref="B21:B26"/>
    <mergeCell ref="C21:C26"/>
    <mergeCell ref="D21:D26"/>
    <mergeCell ref="E21:E26"/>
    <mergeCell ref="M15:M20"/>
    <mergeCell ref="N15:N20"/>
    <mergeCell ref="J21:J26"/>
    <mergeCell ref="K21:K26"/>
    <mergeCell ref="L21:L26"/>
    <mergeCell ref="A15:A20"/>
    <mergeCell ref="B15:B20"/>
    <mergeCell ref="C15:C20"/>
    <mergeCell ref="D15:D20"/>
    <mergeCell ref="E15:E20"/>
    <mergeCell ref="F15:F20"/>
    <mergeCell ref="J15:J20"/>
    <mergeCell ref="K15:K20"/>
    <mergeCell ref="L15:L20"/>
    <mergeCell ref="G15:G20"/>
    <mergeCell ref="H15:H20"/>
    <mergeCell ref="I15:I20"/>
    <mergeCell ref="M21:M26"/>
    <mergeCell ref="M27:M32"/>
    <mergeCell ref="N27:N32"/>
    <mergeCell ref="N39:N44"/>
    <mergeCell ref="J33:J38"/>
    <mergeCell ref="K33:K38"/>
    <mergeCell ref="L33:L38"/>
    <mergeCell ref="A33:A38"/>
    <mergeCell ref="B33:B38"/>
    <mergeCell ref="C33:C38"/>
    <mergeCell ref="D33:D38"/>
    <mergeCell ref="E33:E38"/>
    <mergeCell ref="F33:F38"/>
    <mergeCell ref="G33:G38"/>
    <mergeCell ref="H33:H38"/>
    <mergeCell ref="I33:I38"/>
    <mergeCell ref="F27:F32"/>
    <mergeCell ref="G27:G32"/>
    <mergeCell ref="H27:H32"/>
    <mergeCell ref="I27:I32"/>
    <mergeCell ref="J27:J32"/>
    <mergeCell ref="A27:A32"/>
    <mergeCell ref="B27:B32"/>
    <mergeCell ref="C27:C32"/>
    <mergeCell ref="D27:D32"/>
    <mergeCell ref="A1:AJ2"/>
    <mergeCell ref="A7:G7"/>
    <mergeCell ref="H7:N7"/>
    <mergeCell ref="O7:W7"/>
    <mergeCell ref="X7:AD7"/>
    <mergeCell ref="AE7:AJ7"/>
    <mergeCell ref="B45:AJ45"/>
    <mergeCell ref="M33:M38"/>
    <mergeCell ref="N33:N38"/>
    <mergeCell ref="A39:A44"/>
    <mergeCell ref="B39:B44"/>
    <mergeCell ref="C39:C44"/>
    <mergeCell ref="D39:D44"/>
    <mergeCell ref="E39:E44"/>
    <mergeCell ref="F39:F44"/>
    <mergeCell ref="G39:G44"/>
    <mergeCell ref="H39:H44"/>
    <mergeCell ref="I39:I44"/>
    <mergeCell ref="J39:J44"/>
    <mergeCell ref="K39:K44"/>
    <mergeCell ref="L39:L44"/>
    <mergeCell ref="M39:M44"/>
    <mergeCell ref="K27:K32"/>
    <mergeCell ref="L27:L32"/>
  </mergeCells>
  <conditionalFormatting sqref="H10:H15">
    <cfRule type="cellIs" dxfId="68" priority="1" operator="equal">
      <formula>"Muy Alta"</formula>
    </cfRule>
    <cfRule type="cellIs" dxfId="67" priority="2" operator="equal">
      <formula>"Alta"</formula>
    </cfRule>
    <cfRule type="cellIs" dxfId="66" priority="3" operator="equal">
      <formula>"Media"</formula>
    </cfRule>
    <cfRule type="cellIs" dxfId="65" priority="4" operator="equal">
      <formula>"Baja"</formula>
    </cfRule>
    <cfRule type="cellIs" dxfId="64" priority="5" operator="equal">
      <formula>"Muy Baja"</formula>
    </cfRule>
  </conditionalFormatting>
  <conditionalFormatting sqref="H21">
    <cfRule type="cellIs" dxfId="63" priority="114" operator="equal">
      <formula>"Muy Alta"</formula>
    </cfRule>
    <cfRule type="cellIs" dxfId="62" priority="115" operator="equal">
      <formula>"Alta"</formula>
    </cfRule>
    <cfRule type="cellIs" dxfId="61" priority="118" operator="equal">
      <formula>"Muy Baja"</formula>
    </cfRule>
    <cfRule type="cellIs" dxfId="60" priority="117" operator="equal">
      <formula>"Baja"</formula>
    </cfRule>
    <cfRule type="cellIs" dxfId="59" priority="116" operator="equal">
      <formula>"Media"</formula>
    </cfRule>
  </conditionalFormatting>
  <conditionalFormatting sqref="H27">
    <cfRule type="cellIs" dxfId="58" priority="90" operator="equal">
      <formula>"Muy Baja"</formula>
    </cfRule>
    <cfRule type="cellIs" dxfId="57" priority="89" operator="equal">
      <formula>"Baja"</formula>
    </cfRule>
    <cfRule type="cellIs" dxfId="56" priority="88" operator="equal">
      <formula>"Media"</formula>
    </cfRule>
    <cfRule type="cellIs" dxfId="55" priority="87" operator="equal">
      <formula>"Alta"</formula>
    </cfRule>
    <cfRule type="cellIs" dxfId="54" priority="86" operator="equal">
      <formula>"Muy Alta"</formula>
    </cfRule>
  </conditionalFormatting>
  <conditionalFormatting sqref="H33">
    <cfRule type="cellIs" dxfId="53" priority="62" operator="equal">
      <formula>"Muy Baja"</formula>
    </cfRule>
    <cfRule type="cellIs" dxfId="52" priority="61" operator="equal">
      <formula>"Baja"</formula>
    </cfRule>
    <cfRule type="cellIs" dxfId="51" priority="60" operator="equal">
      <formula>"Media"</formula>
    </cfRule>
    <cfRule type="cellIs" dxfId="50" priority="59" operator="equal">
      <formula>"Alta"</formula>
    </cfRule>
    <cfRule type="cellIs" dxfId="49" priority="58" operator="equal">
      <formula>"Muy Alta"</formula>
    </cfRule>
  </conditionalFormatting>
  <conditionalFormatting sqref="H39">
    <cfRule type="cellIs" dxfId="48" priority="32" operator="equal">
      <formula>"Media"</formula>
    </cfRule>
    <cfRule type="cellIs" dxfId="47" priority="33" operator="equal">
      <formula>"Baja"</formula>
    </cfRule>
    <cfRule type="cellIs" dxfId="46" priority="30" operator="equal">
      <formula>"Muy Alta"</formula>
    </cfRule>
    <cfRule type="cellIs" dxfId="45" priority="34" operator="equal">
      <formula>"Muy Baja"</formula>
    </cfRule>
    <cfRule type="cellIs" dxfId="44" priority="31" operator="equal">
      <formula>"Alta"</formula>
    </cfRule>
  </conditionalFormatting>
  <conditionalFormatting sqref="K10:K44">
    <cfRule type="containsText" dxfId="43" priority="6" operator="containsText" text="❌">
      <formula>NOT(ISERROR(SEARCH("❌",K10)))</formula>
    </cfRule>
  </conditionalFormatting>
  <conditionalFormatting sqref="L10:L15 L21 L27 L33 L39">
    <cfRule type="cellIs" dxfId="42" priority="322" operator="equal">
      <formula>"Menor"</formula>
    </cfRule>
    <cfRule type="cellIs" dxfId="41" priority="323" operator="equal">
      <formula>"Leve"</formula>
    </cfRule>
    <cfRule type="cellIs" dxfId="40" priority="319" operator="equal">
      <formula>"Catastrófico"</formula>
    </cfRule>
    <cfRule type="cellIs" dxfId="39" priority="320" operator="equal">
      <formula>"Mayor"</formula>
    </cfRule>
    <cfRule type="cellIs" dxfId="38" priority="321" operator="equal">
      <formula>"Moderado"</formula>
    </cfRule>
  </conditionalFormatting>
  <conditionalFormatting sqref="N10:N15">
    <cfRule type="cellIs" dxfId="37" priority="133" operator="equal">
      <formula>"Extremo"</formula>
    </cfRule>
    <cfRule type="cellIs" dxfId="36" priority="136" operator="equal">
      <formula>"Bajo"</formula>
    </cfRule>
    <cfRule type="cellIs" dxfId="35" priority="135" operator="equal">
      <formula>"Moderado"</formula>
    </cfRule>
    <cfRule type="cellIs" dxfId="34" priority="134" operator="equal">
      <formula>"Alto"</formula>
    </cfRule>
  </conditionalFormatting>
  <conditionalFormatting sqref="N21">
    <cfRule type="cellIs" dxfId="33" priority="106" operator="equal">
      <formula>"Alto"</formula>
    </cfRule>
    <cfRule type="cellIs" dxfId="32" priority="105" operator="equal">
      <formula>"Extremo"</formula>
    </cfRule>
    <cfRule type="cellIs" dxfId="31" priority="107" operator="equal">
      <formula>"Moderado"</formula>
    </cfRule>
    <cfRule type="cellIs" dxfId="30" priority="108" operator="equal">
      <formula>"Bajo"</formula>
    </cfRule>
  </conditionalFormatting>
  <conditionalFormatting sqref="N27">
    <cfRule type="cellIs" dxfId="29" priority="77" operator="equal">
      <formula>"Extremo"</formula>
    </cfRule>
    <cfRule type="cellIs" dxfId="28" priority="78" operator="equal">
      <formula>"Alto"</formula>
    </cfRule>
    <cfRule type="cellIs" dxfId="27" priority="79" operator="equal">
      <formula>"Moderado"</formula>
    </cfRule>
    <cfRule type="cellIs" dxfId="26" priority="80" operator="equal">
      <formula>"Bajo"</formula>
    </cfRule>
  </conditionalFormatting>
  <conditionalFormatting sqref="N33">
    <cfRule type="cellIs" dxfId="25" priority="49" operator="equal">
      <formula>"Extremo"</formula>
    </cfRule>
    <cfRule type="cellIs" dxfId="24" priority="50" operator="equal">
      <formula>"Alto"</formula>
    </cfRule>
    <cfRule type="cellIs" dxfId="23" priority="51" operator="equal">
      <formula>"Moderado"</formula>
    </cfRule>
    <cfRule type="cellIs" dxfId="22" priority="52" operator="equal">
      <formula>"Bajo"</formula>
    </cfRule>
  </conditionalFormatting>
  <conditionalFormatting sqref="N39">
    <cfRule type="cellIs" dxfId="21" priority="22" operator="equal">
      <formula>"Alto"</formula>
    </cfRule>
    <cfRule type="cellIs" dxfId="20" priority="21" operator="equal">
      <formula>"Extremo"</formula>
    </cfRule>
    <cfRule type="cellIs" dxfId="19" priority="24" operator="equal">
      <formula>"Bajo"</formula>
    </cfRule>
    <cfRule type="cellIs" dxfId="18" priority="23" operator="equal">
      <formula>"Moderado"</formula>
    </cfRule>
  </conditionalFormatting>
  <conditionalFormatting sqref="Y10:Y44">
    <cfRule type="cellIs" dxfId="17" priority="18" operator="equal">
      <formula>"Media"</formula>
    </cfRule>
    <cfRule type="cellIs" dxfId="16" priority="16" operator="equal">
      <formula>"Muy Alta"</formula>
    </cfRule>
    <cfRule type="cellIs" dxfId="15" priority="17" operator="equal">
      <formula>"Alta"</formula>
    </cfRule>
    <cfRule type="cellIs" dxfId="14" priority="20" operator="equal">
      <formula>"Muy Baja"</formula>
    </cfRule>
    <cfRule type="cellIs" dxfId="13" priority="19" operator="equal">
      <formula>"Baja"</formula>
    </cfRule>
  </conditionalFormatting>
  <conditionalFormatting sqref="AA10:AA44">
    <cfRule type="cellIs" dxfId="12" priority="15" operator="equal">
      <formula>"Leve"</formula>
    </cfRule>
    <cfRule type="cellIs" dxfId="11" priority="14" operator="equal">
      <formula>"Menor"</formula>
    </cfRule>
    <cfRule type="cellIs" dxfId="10" priority="13" operator="equal">
      <formula>"Moderado"</formula>
    </cfRule>
    <cfRule type="cellIs" dxfId="9" priority="12" operator="equal">
      <formula>"Mayor"</formula>
    </cfRule>
    <cfRule type="cellIs" dxfId="8" priority="11" operator="equal">
      <formula>"Catastrófico"</formula>
    </cfRule>
  </conditionalFormatting>
  <conditionalFormatting sqref="AC10:AC44">
    <cfRule type="cellIs" dxfId="7" priority="9" operator="equal">
      <formula>"Moderado"</formula>
    </cfRule>
    <cfRule type="cellIs" dxfId="6" priority="10" operator="equal">
      <formula>"Bajo"</formula>
    </cfRule>
    <cfRule type="cellIs" dxfId="5" priority="8" operator="equal">
      <formula>"Alto"</formula>
    </cfRule>
    <cfRule type="cellIs" dxfId="4" priority="7" operator="equal">
      <formula>"Extremo"</formula>
    </cfRule>
  </conditionalFormatting>
  <dataValidations count="1">
    <dataValidation allowBlank="1" showInputMessage="1" showErrorMessage="1" error="Recuerde que las acciones se generan bajo la medida de mitigar el riesgo" sqref="AG10:AG14" xr:uid="{00000000-0002-0000-01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1000000}">
          <x14:formula1>
            <xm:f>'Opciones Tratamiento'!$B$9:$B$10</xm:f>
          </x14:formula1>
          <xm:sqref>AJ18:AJ19 AJ21:AJ22 AJ24:AJ25 AJ27:AJ28 AJ30:AJ31 AJ33:AJ34 AJ36:AJ37 AJ39:AJ40 AJ42:AJ43 AJ10:AJ16</xm:sqref>
        </x14:dataValidation>
        <x14:dataValidation type="list" allowBlank="1" showInputMessage="1" showErrorMessage="1" xr:uid="{00000000-0002-0000-0100-000002000000}">
          <x14:formula1>
            <xm:f>'Tabla Valoración controles'!$D$4:$D$6</xm:f>
          </x14:formula1>
          <xm:sqref>R10:R44</xm:sqref>
        </x14:dataValidation>
        <x14:dataValidation type="list" allowBlank="1" showInputMessage="1" showErrorMessage="1" xr:uid="{00000000-0002-0000-0100-000003000000}">
          <x14:formula1>
            <xm:f>'Tabla Valoración controles'!$D$7:$D$8</xm:f>
          </x14:formula1>
          <xm:sqref>S10:S44</xm:sqref>
        </x14:dataValidation>
        <x14:dataValidation type="list" allowBlank="1" showInputMessage="1" showErrorMessage="1" xr:uid="{00000000-0002-0000-0100-000004000000}">
          <x14:formula1>
            <xm:f>'Tabla Valoración controles'!$D$9:$D$10</xm:f>
          </x14:formula1>
          <xm:sqref>U10:U44</xm:sqref>
        </x14:dataValidation>
        <x14:dataValidation type="list" allowBlank="1" showInputMessage="1" showErrorMessage="1" xr:uid="{00000000-0002-0000-0100-000005000000}">
          <x14:formula1>
            <xm:f>'Tabla Valoración controles'!$D$11:$D$12</xm:f>
          </x14:formula1>
          <xm:sqref>V10:V44</xm:sqref>
        </x14:dataValidation>
        <x14:dataValidation type="list" allowBlank="1" showInputMessage="1" showErrorMessage="1" xr:uid="{00000000-0002-0000-0100-000006000000}">
          <x14:formula1>
            <xm:f>'Tabla Valoración controles'!$D$13:$D$14</xm:f>
          </x14:formula1>
          <xm:sqref>W10:W44</xm:sqref>
        </x14:dataValidation>
        <x14:dataValidation type="list" allowBlank="1" showInputMessage="1" showErrorMessage="1" xr:uid="{00000000-0002-0000-0100-000007000000}">
          <x14:formula1>
            <xm:f>'Opciones Tratamiento'!$B$13:$B$19</xm:f>
          </x14:formula1>
          <xm:sqref>F10:F44</xm:sqref>
        </x14:dataValidation>
        <x14:dataValidation type="list" allowBlank="1" showInputMessage="1" showErrorMessage="1" xr:uid="{00000000-0002-0000-0100-000008000000}">
          <x14:formula1>
            <xm:f>'Opciones Tratamiento'!$E$2:$E$4</xm:f>
          </x14:formula1>
          <xm:sqref>B10:B44</xm:sqref>
        </x14:dataValidation>
        <x14:dataValidation type="list" allowBlank="1" showInputMessage="1" showErrorMessage="1" xr:uid="{00000000-0002-0000-0100-000009000000}">
          <x14:formula1>
            <xm:f>'Opciones Tratamiento'!$B$2:$B$5</xm:f>
          </x14:formula1>
          <xm:sqref>AD10:AD44</xm:sqref>
        </x14:dataValidation>
        <x14:dataValidation type="list" allowBlank="1" showInputMessage="1" showErrorMessage="1" xr:uid="{00000000-0002-0000-0100-00000A000000}">
          <x14:formula1>
            <xm:f>'Tabla Impacto'!$F$210:$F$221</xm:f>
          </x14:formula1>
          <xm:sqref>J10:J44</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AE10:AE44</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AF10:AF44</xm:sqref>
        </x14:dataValidation>
        <x14:dataValidation type="custom" allowBlank="1" showInputMessage="1" showErrorMessage="1" error="Recuerde que las acciones se generan bajo la medida de mitigar el riesgo" xr:uid="{00000000-0002-0000-0100-00000D000000}">
          <x14:formula1>
            <xm:f>IF(OR(AD15='Opciones Tratamiento'!$B$2,AD15='Opciones Tratamiento'!$B$3,AD15='Opciones Tratamiento'!$B$4),ISBLANK(AD15),ISTEXT(AD15))</xm:f>
          </x14:formula1>
          <xm:sqref>AG15:AG44</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AH10:AH44</xm:sqref>
        </x14:dataValidation>
        <x14:dataValidation type="custom" allowBlank="1" showInputMessage="1" showErrorMessage="1" error="Recuerde que las acciones se generan bajo la medida de mitigar el riesgo" xr:uid="{00000000-0002-0000-0100-00000F000000}">
          <x14:formula1>
            <xm:f>IF(OR(AD10='Opciones Tratamiento'!$B$2,AD10='Opciones Tratamiento'!$B$3,AD10='Opciones Tratamiento'!$B$4),ISBLANK(AD10),ISTEXT(AD10))</xm:f>
          </x14:formula1>
          <xm:sqref>AI10:AI44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38" t="s">
        <v>161</v>
      </c>
      <c r="C2" s="338"/>
      <c r="D2" s="338"/>
      <c r="E2" s="338"/>
      <c r="F2" s="338"/>
      <c r="G2" s="338"/>
      <c r="H2" s="338"/>
      <c r="I2" s="338"/>
      <c r="J2" s="306" t="s">
        <v>2</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38"/>
      <c r="C3" s="338"/>
      <c r="D3" s="338"/>
      <c r="E3" s="338"/>
      <c r="F3" s="338"/>
      <c r="G3" s="338"/>
      <c r="H3" s="338"/>
      <c r="I3" s="338"/>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38"/>
      <c r="C4" s="338"/>
      <c r="D4" s="338"/>
      <c r="E4" s="338"/>
      <c r="F4" s="338"/>
      <c r="G4" s="338"/>
      <c r="H4" s="338"/>
      <c r="I4" s="338"/>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53" t="s">
        <v>4</v>
      </c>
      <c r="C6" s="253"/>
      <c r="D6" s="254"/>
      <c r="E6" s="291" t="s">
        <v>116</v>
      </c>
      <c r="F6" s="292"/>
      <c r="G6" s="292"/>
      <c r="H6" s="292"/>
      <c r="I6" s="293"/>
      <c r="J6" s="302" t="str">
        <f>IF(AND('Mapa final'!$H$10="Muy Alta",'Mapa final'!$L$10="Leve"),CONCATENATE("R",'Mapa final'!$A$10),"")</f>
        <v/>
      </c>
      <c r="K6" s="303"/>
      <c r="L6" s="303" t="str">
        <f>IF(AND('Mapa final'!$H$11="Muy Alta",'Mapa final'!$L$11="Leve"),CONCATENATE("R",'Mapa final'!$A$11),"")</f>
        <v/>
      </c>
      <c r="M6" s="303"/>
      <c r="N6" s="303" t="str">
        <f>IF(AND('Mapa final'!$H$12="Muy Alta",'Mapa final'!$L$12="Leve"),CONCATENATE("R",'Mapa final'!$A$12),"")</f>
        <v/>
      </c>
      <c r="O6" s="305"/>
      <c r="P6" s="302" t="str">
        <f>IF(AND('Mapa final'!$H$10="Muy Alta",'Mapa final'!$L$10="Menor"),CONCATENATE("R",'Mapa final'!$A$10),"")</f>
        <v/>
      </c>
      <c r="Q6" s="303"/>
      <c r="R6" s="303" t="str">
        <f>IF(AND('Mapa final'!$H$11="Muy Alta",'Mapa final'!$L$11="Menor"),CONCATENATE("R",'Mapa final'!$A$11),"")</f>
        <v/>
      </c>
      <c r="S6" s="303"/>
      <c r="T6" s="303" t="str">
        <f>IF(AND('Mapa final'!$H$12="Muy Alta",'Mapa final'!$L$12="Menor"),CONCATENATE("R",'Mapa final'!$A$12),"")</f>
        <v/>
      </c>
      <c r="U6" s="305"/>
      <c r="V6" s="302" t="str">
        <f>IF(AND('Mapa final'!$H$10="Muy Alta",'Mapa final'!$L$10="Moderado"),CONCATENATE("R",'Mapa final'!$A$10),"")</f>
        <v/>
      </c>
      <c r="W6" s="303"/>
      <c r="X6" s="303" t="str">
        <f>IF(AND('Mapa final'!$H$11="Muy Alta",'Mapa final'!$L$11="Moderado"),CONCATENATE("R",'Mapa final'!$A$11),"")</f>
        <v/>
      </c>
      <c r="Y6" s="303"/>
      <c r="Z6" s="303" t="str">
        <f>IF(AND('Mapa final'!$H$12="Muy Alta",'Mapa final'!$L$12="Moderado"),CONCATENATE("R",'Mapa final'!$A$12),"")</f>
        <v/>
      </c>
      <c r="AA6" s="305"/>
      <c r="AB6" s="302" t="str">
        <f>IF(AND('Mapa final'!$H$10="Muy Alta",'Mapa final'!$L$10="Mayor"),CONCATENATE("R",'Mapa final'!$A$10),"")</f>
        <v/>
      </c>
      <c r="AC6" s="303"/>
      <c r="AD6" s="303" t="str">
        <f>IF(AND('Mapa final'!$H$11="Muy Alta",'Mapa final'!$L$11="Mayor"),CONCATENATE("R",'Mapa final'!$A$11),"")</f>
        <v/>
      </c>
      <c r="AE6" s="303"/>
      <c r="AF6" s="303" t="str">
        <f>IF(AND('Mapa final'!$H$12="Muy Alta",'Mapa final'!$L$12="Mayor"),CONCATENATE("R",'Mapa final'!$A$12),"")</f>
        <v/>
      </c>
      <c r="AG6" s="305"/>
      <c r="AH6" s="317" t="str">
        <f>IF(AND('Mapa final'!$H$10="Muy Alta",'Mapa final'!$L$10="Catastrófico"),CONCATENATE("R",'Mapa final'!$A$10),"")</f>
        <v/>
      </c>
      <c r="AI6" s="318"/>
      <c r="AJ6" s="318" t="str">
        <f>IF(AND('Mapa final'!$H$11="Muy Alta",'Mapa final'!$L$11="Catastrófico"),CONCATENATE("R",'Mapa final'!$A$11),"")</f>
        <v/>
      </c>
      <c r="AK6" s="318"/>
      <c r="AL6" s="318" t="str">
        <f>IF(AND('Mapa final'!$H$12="Muy Alta",'Mapa final'!$L$12="Catastrófico"),CONCATENATE("R",'Mapa final'!$A$12),"")</f>
        <v/>
      </c>
      <c r="AM6" s="319"/>
      <c r="AO6" s="255" t="s">
        <v>79</v>
      </c>
      <c r="AP6" s="256"/>
      <c r="AQ6" s="256"/>
      <c r="AR6" s="256"/>
      <c r="AS6" s="256"/>
      <c r="AT6" s="25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53"/>
      <c r="C7" s="253"/>
      <c r="D7" s="254"/>
      <c r="E7" s="294"/>
      <c r="F7" s="295"/>
      <c r="G7" s="295"/>
      <c r="H7" s="295"/>
      <c r="I7" s="296"/>
      <c r="J7" s="304"/>
      <c r="K7" s="300"/>
      <c r="L7" s="300"/>
      <c r="M7" s="300"/>
      <c r="N7" s="300"/>
      <c r="O7" s="301"/>
      <c r="P7" s="304"/>
      <c r="Q7" s="300"/>
      <c r="R7" s="300"/>
      <c r="S7" s="300"/>
      <c r="T7" s="300"/>
      <c r="U7" s="301"/>
      <c r="V7" s="304"/>
      <c r="W7" s="300"/>
      <c r="X7" s="300"/>
      <c r="Y7" s="300"/>
      <c r="Z7" s="300"/>
      <c r="AA7" s="301"/>
      <c r="AB7" s="304"/>
      <c r="AC7" s="300"/>
      <c r="AD7" s="300"/>
      <c r="AE7" s="300"/>
      <c r="AF7" s="300"/>
      <c r="AG7" s="301"/>
      <c r="AH7" s="311"/>
      <c r="AI7" s="312"/>
      <c r="AJ7" s="312"/>
      <c r="AK7" s="312"/>
      <c r="AL7" s="312"/>
      <c r="AM7" s="313"/>
      <c r="AN7" s="83"/>
      <c r="AO7" s="258"/>
      <c r="AP7" s="259"/>
      <c r="AQ7" s="259"/>
      <c r="AR7" s="259"/>
      <c r="AS7" s="259"/>
      <c r="AT7" s="26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53"/>
      <c r="C8" s="253"/>
      <c r="D8" s="254"/>
      <c r="E8" s="294"/>
      <c r="F8" s="295"/>
      <c r="G8" s="295"/>
      <c r="H8" s="295"/>
      <c r="I8" s="296"/>
      <c r="J8" s="304" t="str">
        <f>IF(AND('Mapa final'!$H$13="Muy Alta",'Mapa final'!$L$13="Leve"),CONCATENATE("R",'Mapa final'!$A$13),"")</f>
        <v/>
      </c>
      <c r="K8" s="300"/>
      <c r="L8" s="300" t="str">
        <f>IF(AND('Mapa final'!$H$14="Muy Alta",'Mapa final'!$L$14="Leve"),CONCATENATE("R",'Mapa final'!$A$14),"")</f>
        <v/>
      </c>
      <c r="M8" s="300"/>
      <c r="N8" s="300" t="str">
        <f>IF(AND('Mapa final'!$H$15="Muy Alta",'Mapa final'!$L$15="Leve"),CONCATENATE("R",'Mapa final'!$A$15),"")</f>
        <v/>
      </c>
      <c r="O8" s="301"/>
      <c r="P8" s="304" t="str">
        <f>IF(AND('Mapa final'!$H$13="Muy Alta",'Mapa final'!$L$13="Menor"),CONCATENATE("R",'Mapa final'!$A$13),"")</f>
        <v/>
      </c>
      <c r="Q8" s="300"/>
      <c r="R8" s="300" t="str">
        <f>IF(AND('Mapa final'!$H$14="Muy Alta",'Mapa final'!$L$14="Menor"),CONCATENATE("R",'Mapa final'!$A$14),"")</f>
        <v/>
      </c>
      <c r="S8" s="300"/>
      <c r="T8" s="300" t="str">
        <f>IF(AND('Mapa final'!$H$15="Muy Alta",'Mapa final'!$L$15="Menor"),CONCATENATE("R",'Mapa final'!$A$15),"")</f>
        <v/>
      </c>
      <c r="U8" s="301"/>
      <c r="V8" s="304" t="str">
        <f>IF(AND('Mapa final'!$H$13="Muy Alta",'Mapa final'!$L$13="Moderado"),CONCATENATE("R",'Mapa final'!$A$13),"")</f>
        <v/>
      </c>
      <c r="W8" s="300"/>
      <c r="X8" s="300" t="str">
        <f>IF(AND('Mapa final'!$H$14="Muy Alta",'Mapa final'!$L$14="Moderado"),CONCATENATE("R",'Mapa final'!$A$14),"")</f>
        <v/>
      </c>
      <c r="Y8" s="300"/>
      <c r="Z8" s="300" t="str">
        <f>IF(AND('Mapa final'!$H$15="Muy Alta",'Mapa final'!$L$15="Moderado"),CONCATENATE("R",'Mapa final'!$A$15),"")</f>
        <v/>
      </c>
      <c r="AA8" s="301"/>
      <c r="AB8" s="304" t="str">
        <f>IF(AND('Mapa final'!$H$13="Muy Alta",'Mapa final'!$L$13="Mayor"),CONCATENATE("R",'Mapa final'!$A$13),"")</f>
        <v/>
      </c>
      <c r="AC8" s="300"/>
      <c r="AD8" s="300" t="str">
        <f>IF(AND('Mapa final'!$H$14="Muy Alta",'Mapa final'!$L$14="Mayor"),CONCATENATE("R",'Mapa final'!$A$14),"")</f>
        <v/>
      </c>
      <c r="AE8" s="300"/>
      <c r="AF8" s="300" t="str">
        <f>IF(AND('Mapa final'!$H$15="Muy Alta",'Mapa final'!$L$15="Mayor"),CONCATENATE("R",'Mapa final'!$A$15),"")</f>
        <v/>
      </c>
      <c r="AG8" s="301"/>
      <c r="AH8" s="311" t="str">
        <f>IF(AND('Mapa final'!$H$13="Muy Alta",'Mapa final'!$L$13="Catastrófico"),CONCATENATE("R",'Mapa final'!$A$13),"")</f>
        <v/>
      </c>
      <c r="AI8" s="312"/>
      <c r="AJ8" s="312" t="str">
        <f>IF(AND('Mapa final'!$H$14="Muy Alta",'Mapa final'!$L$14="Catastrófico"),CONCATENATE("R",'Mapa final'!$A$14),"")</f>
        <v/>
      </c>
      <c r="AK8" s="312"/>
      <c r="AL8" s="312" t="str">
        <f>IF(AND('Mapa final'!$H$15="Muy Alta",'Mapa final'!$L$15="Catastrófico"),CONCATENATE("R",'Mapa final'!$A$15),"")</f>
        <v/>
      </c>
      <c r="AM8" s="313"/>
      <c r="AN8" s="83"/>
      <c r="AO8" s="258"/>
      <c r="AP8" s="259"/>
      <c r="AQ8" s="259"/>
      <c r="AR8" s="259"/>
      <c r="AS8" s="259"/>
      <c r="AT8" s="26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53"/>
      <c r="C9" s="253"/>
      <c r="D9" s="254"/>
      <c r="E9" s="294"/>
      <c r="F9" s="295"/>
      <c r="G9" s="295"/>
      <c r="H9" s="295"/>
      <c r="I9" s="296"/>
      <c r="J9" s="304"/>
      <c r="K9" s="300"/>
      <c r="L9" s="300"/>
      <c r="M9" s="300"/>
      <c r="N9" s="300"/>
      <c r="O9" s="301"/>
      <c r="P9" s="304"/>
      <c r="Q9" s="300"/>
      <c r="R9" s="300"/>
      <c r="S9" s="300"/>
      <c r="T9" s="300"/>
      <c r="U9" s="301"/>
      <c r="V9" s="304"/>
      <c r="W9" s="300"/>
      <c r="X9" s="300"/>
      <c r="Y9" s="300"/>
      <c r="Z9" s="300"/>
      <c r="AA9" s="301"/>
      <c r="AB9" s="304"/>
      <c r="AC9" s="300"/>
      <c r="AD9" s="300"/>
      <c r="AE9" s="300"/>
      <c r="AF9" s="300"/>
      <c r="AG9" s="301"/>
      <c r="AH9" s="311"/>
      <c r="AI9" s="312"/>
      <c r="AJ9" s="312"/>
      <c r="AK9" s="312"/>
      <c r="AL9" s="312"/>
      <c r="AM9" s="313"/>
      <c r="AN9" s="83"/>
      <c r="AO9" s="258"/>
      <c r="AP9" s="259"/>
      <c r="AQ9" s="259"/>
      <c r="AR9" s="259"/>
      <c r="AS9" s="259"/>
      <c r="AT9" s="26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53"/>
      <c r="C10" s="253"/>
      <c r="D10" s="254"/>
      <c r="E10" s="294"/>
      <c r="F10" s="295"/>
      <c r="G10" s="295"/>
      <c r="H10" s="295"/>
      <c r="I10" s="296"/>
      <c r="J10" s="304" t="str">
        <f>IF(AND('Mapa final'!$H$21="Muy Alta",'Mapa final'!$L$21="Leve"),CONCATENATE("R",'Mapa final'!$A$21),"")</f>
        <v/>
      </c>
      <c r="K10" s="300"/>
      <c r="L10" s="300" t="str">
        <f>IF(AND('Mapa final'!$H$27="Muy Alta",'Mapa final'!$L$27="Leve"),CONCATENATE("R",'Mapa final'!$A$27),"")</f>
        <v/>
      </c>
      <c r="M10" s="300"/>
      <c r="N10" s="300" t="str">
        <f>IF(AND('Mapa final'!$H$33="Muy Alta",'Mapa final'!$L$33="Leve"),CONCATENATE("R",'Mapa final'!$A$33),"")</f>
        <v/>
      </c>
      <c r="O10" s="301"/>
      <c r="P10" s="304" t="str">
        <f>IF(AND('Mapa final'!$H$21="Muy Alta",'Mapa final'!$L$21="Menor"),CONCATENATE("R",'Mapa final'!$A$21),"")</f>
        <v/>
      </c>
      <c r="Q10" s="300"/>
      <c r="R10" s="300" t="str">
        <f>IF(AND('Mapa final'!$H$27="Muy Alta",'Mapa final'!$L$27="Menor"),CONCATENATE("R",'Mapa final'!$A$27),"")</f>
        <v/>
      </c>
      <c r="S10" s="300"/>
      <c r="T10" s="300" t="str">
        <f>IF(AND('Mapa final'!$H$33="Muy Alta",'Mapa final'!$L$33="Menor"),CONCATENATE("R",'Mapa final'!$A$33),"")</f>
        <v/>
      </c>
      <c r="U10" s="301"/>
      <c r="V10" s="304" t="str">
        <f>IF(AND('Mapa final'!$H$21="Muy Alta",'Mapa final'!$L$21="Moderado"),CONCATENATE("R",'Mapa final'!$A$21),"")</f>
        <v/>
      </c>
      <c r="W10" s="300"/>
      <c r="X10" s="300" t="str">
        <f>IF(AND('Mapa final'!$H$27="Muy Alta",'Mapa final'!$L$27="Moderado"),CONCATENATE("R",'Mapa final'!$A$27),"")</f>
        <v/>
      </c>
      <c r="Y10" s="300"/>
      <c r="Z10" s="300" t="str">
        <f>IF(AND('Mapa final'!$H$33="Muy Alta",'Mapa final'!$L$33="Moderado"),CONCATENATE("R",'Mapa final'!$A$33),"")</f>
        <v/>
      </c>
      <c r="AA10" s="301"/>
      <c r="AB10" s="304" t="str">
        <f>IF(AND('Mapa final'!$H$21="Muy Alta",'Mapa final'!$L$21="Mayor"),CONCATENATE("R",'Mapa final'!$A$21),"")</f>
        <v/>
      </c>
      <c r="AC10" s="300"/>
      <c r="AD10" s="300" t="str">
        <f>IF(AND('Mapa final'!$H$27="Muy Alta",'Mapa final'!$L$27="Mayor"),CONCATENATE("R",'Mapa final'!$A$27),"")</f>
        <v/>
      </c>
      <c r="AE10" s="300"/>
      <c r="AF10" s="300" t="str">
        <f>IF(AND('Mapa final'!$H$33="Muy Alta",'Mapa final'!$L$33="Mayor"),CONCATENATE("R",'Mapa final'!$A$33),"")</f>
        <v/>
      </c>
      <c r="AG10" s="301"/>
      <c r="AH10" s="311" t="str">
        <f>IF(AND('Mapa final'!$H$21="Muy Alta",'Mapa final'!$L$21="Catastrófico"),CONCATENATE("R",'Mapa final'!$A$21),"")</f>
        <v/>
      </c>
      <c r="AI10" s="312"/>
      <c r="AJ10" s="312" t="str">
        <f>IF(AND('Mapa final'!$H$27="Muy Alta",'Mapa final'!$L$27="Catastrófico"),CONCATENATE("R",'Mapa final'!$A$27),"")</f>
        <v/>
      </c>
      <c r="AK10" s="312"/>
      <c r="AL10" s="312" t="str">
        <f>IF(AND('Mapa final'!$H$33="Muy Alta",'Mapa final'!$L$33="Catastrófico"),CONCATENATE("R",'Mapa final'!$A$33),"")</f>
        <v/>
      </c>
      <c r="AM10" s="313"/>
      <c r="AN10" s="83"/>
      <c r="AO10" s="258"/>
      <c r="AP10" s="259"/>
      <c r="AQ10" s="259"/>
      <c r="AR10" s="259"/>
      <c r="AS10" s="259"/>
      <c r="AT10" s="26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53"/>
      <c r="C11" s="253"/>
      <c r="D11" s="254"/>
      <c r="E11" s="294"/>
      <c r="F11" s="295"/>
      <c r="G11" s="295"/>
      <c r="H11" s="295"/>
      <c r="I11" s="296"/>
      <c r="J11" s="304"/>
      <c r="K11" s="300"/>
      <c r="L11" s="300"/>
      <c r="M11" s="300"/>
      <c r="N11" s="300"/>
      <c r="O11" s="301"/>
      <c r="P11" s="304"/>
      <c r="Q11" s="300"/>
      <c r="R11" s="300"/>
      <c r="S11" s="300"/>
      <c r="T11" s="300"/>
      <c r="U11" s="301"/>
      <c r="V11" s="304"/>
      <c r="W11" s="300"/>
      <c r="X11" s="300"/>
      <c r="Y11" s="300"/>
      <c r="Z11" s="300"/>
      <c r="AA11" s="301"/>
      <c r="AB11" s="304"/>
      <c r="AC11" s="300"/>
      <c r="AD11" s="300"/>
      <c r="AE11" s="300"/>
      <c r="AF11" s="300"/>
      <c r="AG11" s="301"/>
      <c r="AH11" s="311"/>
      <c r="AI11" s="312"/>
      <c r="AJ11" s="312"/>
      <c r="AK11" s="312"/>
      <c r="AL11" s="312"/>
      <c r="AM11" s="313"/>
      <c r="AN11" s="83"/>
      <c r="AO11" s="258"/>
      <c r="AP11" s="259"/>
      <c r="AQ11" s="259"/>
      <c r="AR11" s="259"/>
      <c r="AS11" s="259"/>
      <c r="AT11" s="26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53"/>
      <c r="C12" s="253"/>
      <c r="D12" s="254"/>
      <c r="E12" s="294"/>
      <c r="F12" s="295"/>
      <c r="G12" s="295"/>
      <c r="H12" s="295"/>
      <c r="I12" s="296"/>
      <c r="J12" s="304" t="str">
        <f>IF(AND('Mapa final'!$H$39="Muy Alta",'Mapa final'!$L$39="Leve"),CONCATENATE("R",'Mapa final'!$A$39),"")</f>
        <v/>
      </c>
      <c r="K12" s="300"/>
      <c r="L12" s="300" t="str">
        <f>IF(AND('Mapa final'!$H$45="Muy Alta",'Mapa final'!$L$45="Leve"),CONCATENATE("R",'Mapa final'!$A$45),"")</f>
        <v/>
      </c>
      <c r="M12" s="300"/>
      <c r="N12" s="300" t="str">
        <f>IF(AND('Mapa final'!$H$51="Muy Alta",'Mapa final'!$L$51="Leve"),CONCATENATE("R",'Mapa final'!$A$51),"")</f>
        <v/>
      </c>
      <c r="O12" s="301"/>
      <c r="P12" s="304" t="str">
        <f>IF(AND('Mapa final'!$H$39="Muy Alta",'Mapa final'!$L$39="Menor"),CONCATENATE("R",'Mapa final'!$A$39),"")</f>
        <v/>
      </c>
      <c r="Q12" s="300"/>
      <c r="R12" s="300" t="str">
        <f>IF(AND('Mapa final'!$H$45="Muy Alta",'Mapa final'!$L$45="Menor"),CONCATENATE("R",'Mapa final'!$A$45),"")</f>
        <v/>
      </c>
      <c r="S12" s="300"/>
      <c r="T12" s="300" t="str">
        <f>IF(AND('Mapa final'!$H$51="Muy Alta",'Mapa final'!$L$51="Menor"),CONCATENATE("R",'Mapa final'!$A$51),"")</f>
        <v/>
      </c>
      <c r="U12" s="301"/>
      <c r="V12" s="304" t="str">
        <f>IF(AND('Mapa final'!$H$39="Muy Alta",'Mapa final'!$L$39="Moderado"),CONCATENATE("R",'Mapa final'!$A$39),"")</f>
        <v/>
      </c>
      <c r="W12" s="300"/>
      <c r="X12" s="300" t="str">
        <f>IF(AND('Mapa final'!$H$45="Muy Alta",'Mapa final'!$L$45="Moderado"),CONCATENATE("R",'Mapa final'!$A$45),"")</f>
        <v/>
      </c>
      <c r="Y12" s="300"/>
      <c r="Z12" s="300" t="str">
        <f>IF(AND('Mapa final'!$H$51="Muy Alta",'Mapa final'!$L$51="Moderado"),CONCATENATE("R",'Mapa final'!$A$51),"")</f>
        <v/>
      </c>
      <c r="AA12" s="301"/>
      <c r="AB12" s="304" t="str">
        <f>IF(AND('Mapa final'!$H$39="Muy Alta",'Mapa final'!$L$39="Mayor"),CONCATENATE("R",'Mapa final'!$A$39),"")</f>
        <v/>
      </c>
      <c r="AC12" s="300"/>
      <c r="AD12" s="300" t="str">
        <f>IF(AND('Mapa final'!$H$45="Muy Alta",'Mapa final'!$L$45="Mayor"),CONCATENATE("R",'Mapa final'!$A$45),"")</f>
        <v/>
      </c>
      <c r="AE12" s="300"/>
      <c r="AF12" s="300" t="str">
        <f>IF(AND('Mapa final'!$H$51="Muy Alta",'Mapa final'!$L$51="Mayor"),CONCATENATE("R",'Mapa final'!$A$51),"")</f>
        <v/>
      </c>
      <c r="AG12" s="301"/>
      <c r="AH12" s="311" t="str">
        <f>IF(AND('Mapa final'!$H$39="Muy Alta",'Mapa final'!$L$39="Catastrófico"),CONCATENATE("R",'Mapa final'!$A$39),"")</f>
        <v/>
      </c>
      <c r="AI12" s="312"/>
      <c r="AJ12" s="312" t="str">
        <f>IF(AND('Mapa final'!$H$45="Muy Alta",'Mapa final'!$L$45="Catastrófico"),CONCATENATE("R",'Mapa final'!$A$45),"")</f>
        <v/>
      </c>
      <c r="AK12" s="312"/>
      <c r="AL12" s="312" t="str">
        <f>IF(AND('Mapa final'!$H$51="Muy Alta",'Mapa final'!$L$51="Catastrófico"),CONCATENATE("R",'Mapa final'!$A$51),"")</f>
        <v/>
      </c>
      <c r="AM12" s="313"/>
      <c r="AN12" s="83"/>
      <c r="AO12" s="258"/>
      <c r="AP12" s="259"/>
      <c r="AQ12" s="259"/>
      <c r="AR12" s="259"/>
      <c r="AS12" s="259"/>
      <c r="AT12" s="26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53"/>
      <c r="C13" s="253"/>
      <c r="D13" s="254"/>
      <c r="E13" s="297"/>
      <c r="F13" s="298"/>
      <c r="G13" s="298"/>
      <c r="H13" s="298"/>
      <c r="I13" s="299"/>
      <c r="J13" s="304"/>
      <c r="K13" s="300"/>
      <c r="L13" s="300"/>
      <c r="M13" s="300"/>
      <c r="N13" s="300"/>
      <c r="O13" s="301"/>
      <c r="P13" s="304"/>
      <c r="Q13" s="300"/>
      <c r="R13" s="300"/>
      <c r="S13" s="300"/>
      <c r="T13" s="300"/>
      <c r="U13" s="301"/>
      <c r="V13" s="304"/>
      <c r="W13" s="300"/>
      <c r="X13" s="300"/>
      <c r="Y13" s="300"/>
      <c r="Z13" s="300"/>
      <c r="AA13" s="301"/>
      <c r="AB13" s="304"/>
      <c r="AC13" s="300"/>
      <c r="AD13" s="300"/>
      <c r="AE13" s="300"/>
      <c r="AF13" s="300"/>
      <c r="AG13" s="301"/>
      <c r="AH13" s="314"/>
      <c r="AI13" s="315"/>
      <c r="AJ13" s="315"/>
      <c r="AK13" s="315"/>
      <c r="AL13" s="315"/>
      <c r="AM13" s="316"/>
      <c r="AN13" s="83"/>
      <c r="AO13" s="261"/>
      <c r="AP13" s="262"/>
      <c r="AQ13" s="262"/>
      <c r="AR13" s="262"/>
      <c r="AS13" s="262"/>
      <c r="AT13" s="26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53"/>
      <c r="C14" s="253"/>
      <c r="D14" s="254"/>
      <c r="E14" s="291" t="s">
        <v>115</v>
      </c>
      <c r="F14" s="292"/>
      <c r="G14" s="292"/>
      <c r="H14" s="292"/>
      <c r="I14" s="292"/>
      <c r="J14" s="326" t="str">
        <f>IF(AND('Mapa final'!$H$10="Alta",'Mapa final'!$L$10="Leve"),CONCATENATE("R",'Mapa final'!$A$10),"")</f>
        <v/>
      </c>
      <c r="K14" s="327"/>
      <c r="L14" s="327" t="str">
        <f>IF(AND('Mapa final'!$H$11="Alta",'Mapa final'!$L$11="Leve"),CONCATENATE("R",'Mapa final'!$A$11),"")</f>
        <v/>
      </c>
      <c r="M14" s="327"/>
      <c r="N14" s="327" t="str">
        <f>IF(AND('Mapa final'!$H$12="Alta",'Mapa final'!$L$12="Leve"),CONCATENATE("R",'Mapa final'!$A$12),"")</f>
        <v/>
      </c>
      <c r="O14" s="328"/>
      <c r="P14" s="326" t="str">
        <f>IF(AND('Mapa final'!$H$10="Alta",'Mapa final'!$L$10="Menor"),CONCATENATE("R",'Mapa final'!$A$10),"")</f>
        <v/>
      </c>
      <c r="Q14" s="327"/>
      <c r="R14" s="327" t="str">
        <f>IF(AND('Mapa final'!$H$11="Alta",'Mapa final'!$L$11="Menor"),CONCATENATE("R",'Mapa final'!$A$11),"")</f>
        <v/>
      </c>
      <c r="S14" s="327"/>
      <c r="T14" s="327" t="str">
        <f>IF(AND('Mapa final'!$H$12="Alta",'Mapa final'!$L$12="Menor"),CONCATENATE("R",'Mapa final'!$A$12),"")</f>
        <v/>
      </c>
      <c r="U14" s="328"/>
      <c r="V14" s="302" t="str">
        <f>IF(AND('Mapa final'!$H$10="Alta",'Mapa final'!$L$10="Moderado"),CONCATENATE("R",'Mapa final'!$A$10),"")</f>
        <v/>
      </c>
      <c r="W14" s="303"/>
      <c r="X14" s="303" t="str">
        <f>IF(AND('Mapa final'!$H$11="Alta",'Mapa final'!$L$11="Moderado"),CONCATENATE("R",'Mapa final'!$A$11),"")</f>
        <v/>
      </c>
      <c r="Y14" s="303"/>
      <c r="Z14" s="303" t="str">
        <f>IF(AND('Mapa final'!$H$12="Alta",'Mapa final'!$L$12="Moderado"),CONCATENATE("R",'Mapa final'!$A$12),"")</f>
        <v/>
      </c>
      <c r="AA14" s="305"/>
      <c r="AB14" s="302" t="str">
        <f>IF(AND('Mapa final'!$H$10="Alta",'Mapa final'!$L$10="Mayor"),CONCATENATE("R",'Mapa final'!$A$10),"")</f>
        <v>R1</v>
      </c>
      <c r="AC14" s="303"/>
      <c r="AD14" s="303" t="str">
        <f>IF(AND('Mapa final'!$H$11="Alta",'Mapa final'!$L$11="Mayor"),CONCATENATE("R",'Mapa final'!$A$11),"")</f>
        <v>R2</v>
      </c>
      <c r="AE14" s="303"/>
      <c r="AF14" s="303" t="str">
        <f>IF(AND('Mapa final'!$H$12="Alta",'Mapa final'!$L$12="Mayor"),CONCATENATE("R",'Mapa final'!$A$12),"")</f>
        <v/>
      </c>
      <c r="AG14" s="305"/>
      <c r="AH14" s="317" t="str">
        <f>IF(AND('Mapa final'!$H$10="Alta",'Mapa final'!$L$10="Catastrófico"),CONCATENATE("R",'Mapa final'!$A$10),"")</f>
        <v/>
      </c>
      <c r="AI14" s="318"/>
      <c r="AJ14" s="318" t="str">
        <f>IF(AND('Mapa final'!$H$11="Alta",'Mapa final'!$L$11="Catastrófico"),CONCATENATE("R",'Mapa final'!$A$11),"")</f>
        <v/>
      </c>
      <c r="AK14" s="318"/>
      <c r="AL14" s="318" t="str">
        <f>IF(AND('Mapa final'!$H$12="Alta",'Mapa final'!$L$12="Catastrófico"),CONCATENATE("R",'Mapa final'!$A$12),"")</f>
        <v/>
      </c>
      <c r="AM14" s="319"/>
      <c r="AN14" s="83"/>
      <c r="AO14" s="264" t="s">
        <v>80</v>
      </c>
      <c r="AP14" s="265"/>
      <c r="AQ14" s="265"/>
      <c r="AR14" s="265"/>
      <c r="AS14" s="265"/>
      <c r="AT14" s="26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53"/>
      <c r="C15" s="253"/>
      <c r="D15" s="254"/>
      <c r="E15" s="294"/>
      <c r="F15" s="295"/>
      <c r="G15" s="295"/>
      <c r="H15" s="295"/>
      <c r="I15" s="295"/>
      <c r="J15" s="320"/>
      <c r="K15" s="321"/>
      <c r="L15" s="321"/>
      <c r="M15" s="321"/>
      <c r="N15" s="321"/>
      <c r="O15" s="322"/>
      <c r="P15" s="320"/>
      <c r="Q15" s="321"/>
      <c r="R15" s="321"/>
      <c r="S15" s="321"/>
      <c r="T15" s="321"/>
      <c r="U15" s="322"/>
      <c r="V15" s="304"/>
      <c r="W15" s="300"/>
      <c r="X15" s="300"/>
      <c r="Y15" s="300"/>
      <c r="Z15" s="300"/>
      <c r="AA15" s="301"/>
      <c r="AB15" s="304"/>
      <c r="AC15" s="300"/>
      <c r="AD15" s="300"/>
      <c r="AE15" s="300"/>
      <c r="AF15" s="300"/>
      <c r="AG15" s="301"/>
      <c r="AH15" s="311"/>
      <c r="AI15" s="312"/>
      <c r="AJ15" s="312"/>
      <c r="AK15" s="312"/>
      <c r="AL15" s="312"/>
      <c r="AM15" s="313"/>
      <c r="AN15" s="83"/>
      <c r="AO15" s="267"/>
      <c r="AP15" s="268"/>
      <c r="AQ15" s="268"/>
      <c r="AR15" s="268"/>
      <c r="AS15" s="268"/>
      <c r="AT15" s="26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53"/>
      <c r="C16" s="253"/>
      <c r="D16" s="254"/>
      <c r="E16" s="294"/>
      <c r="F16" s="295"/>
      <c r="G16" s="295"/>
      <c r="H16" s="295"/>
      <c r="I16" s="295"/>
      <c r="J16" s="320" t="str">
        <f>IF(AND('Mapa final'!$H$13="Alta",'Mapa final'!$L$13="Leve"),CONCATENATE("R",'Mapa final'!$A$13),"")</f>
        <v/>
      </c>
      <c r="K16" s="321"/>
      <c r="L16" s="321" t="str">
        <f>IF(AND('Mapa final'!$H$14="Alta",'Mapa final'!$L$14="Leve"),CONCATENATE("R",'Mapa final'!$A$14),"")</f>
        <v/>
      </c>
      <c r="M16" s="321"/>
      <c r="N16" s="321" t="str">
        <f>IF(AND('Mapa final'!$H$15="Alta",'Mapa final'!$L$15="Leve"),CONCATENATE("R",'Mapa final'!$A$15),"")</f>
        <v/>
      </c>
      <c r="O16" s="322"/>
      <c r="P16" s="320" t="str">
        <f>IF(AND('Mapa final'!$H$13="Alta",'Mapa final'!$L$13="Menor"),CONCATENATE("R",'Mapa final'!$A$13),"")</f>
        <v/>
      </c>
      <c r="Q16" s="321"/>
      <c r="R16" s="321" t="str">
        <f>IF(AND('Mapa final'!$H$14="Alta",'Mapa final'!$L$14="Menor"),CONCATENATE("R",'Mapa final'!$A$14),"")</f>
        <v/>
      </c>
      <c r="S16" s="321"/>
      <c r="T16" s="321" t="str">
        <f>IF(AND('Mapa final'!$H$15="Alta",'Mapa final'!$L$15="Menor"),CONCATENATE("R",'Mapa final'!$A$15),"")</f>
        <v/>
      </c>
      <c r="U16" s="322"/>
      <c r="V16" s="304" t="str">
        <f>IF(AND('Mapa final'!$H$13="Alta",'Mapa final'!$L$13="Moderado"),CONCATENATE("R",'Mapa final'!$A$13),"")</f>
        <v/>
      </c>
      <c r="W16" s="300"/>
      <c r="X16" s="300" t="str">
        <f>IF(AND('Mapa final'!$H$14="Alta",'Mapa final'!$L$14="Moderado"),CONCATENATE("R",'Mapa final'!$A$14),"")</f>
        <v/>
      </c>
      <c r="Y16" s="300"/>
      <c r="Z16" s="300" t="str">
        <f>IF(AND('Mapa final'!$H$15="Alta",'Mapa final'!$L$15="Moderado"),CONCATENATE("R",'Mapa final'!$A$15),"")</f>
        <v/>
      </c>
      <c r="AA16" s="301"/>
      <c r="AB16" s="304" t="str">
        <f>IF(AND('Mapa final'!$H$13="Alta",'Mapa final'!$L$13="Mayor"),CONCATENATE("R",'Mapa final'!$A$13),"")</f>
        <v/>
      </c>
      <c r="AC16" s="300"/>
      <c r="AD16" s="300" t="str">
        <f>IF(AND('Mapa final'!$H$14="Alta",'Mapa final'!$L$14="Mayor"),CONCATENATE("R",'Mapa final'!$A$14),"")</f>
        <v>R5</v>
      </c>
      <c r="AE16" s="300"/>
      <c r="AF16" s="300" t="str">
        <f>IF(AND('Mapa final'!$H$15="Alta",'Mapa final'!$L$15="Mayor"),CONCATENATE("R",'Mapa final'!$A$15),"")</f>
        <v/>
      </c>
      <c r="AG16" s="301"/>
      <c r="AH16" s="311" t="str">
        <f>IF(AND('Mapa final'!$H$13="Alta",'Mapa final'!$L$13="Catastrófico"),CONCATENATE("R",'Mapa final'!$A$13),"")</f>
        <v/>
      </c>
      <c r="AI16" s="312"/>
      <c r="AJ16" s="312" t="str">
        <f>IF(AND('Mapa final'!$H$14="Alta",'Mapa final'!$L$14="Catastrófico"),CONCATENATE("R",'Mapa final'!$A$14),"")</f>
        <v/>
      </c>
      <c r="AK16" s="312"/>
      <c r="AL16" s="312" t="str">
        <f>IF(AND('Mapa final'!$H$15="Alta",'Mapa final'!$L$15="Catastrófico"),CONCATENATE("R",'Mapa final'!$A$15),"")</f>
        <v/>
      </c>
      <c r="AM16" s="313"/>
      <c r="AN16" s="83"/>
      <c r="AO16" s="267"/>
      <c r="AP16" s="268"/>
      <c r="AQ16" s="268"/>
      <c r="AR16" s="268"/>
      <c r="AS16" s="268"/>
      <c r="AT16" s="26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53"/>
      <c r="C17" s="253"/>
      <c r="D17" s="254"/>
      <c r="E17" s="294"/>
      <c r="F17" s="295"/>
      <c r="G17" s="295"/>
      <c r="H17" s="295"/>
      <c r="I17" s="295"/>
      <c r="J17" s="320"/>
      <c r="K17" s="321"/>
      <c r="L17" s="321"/>
      <c r="M17" s="321"/>
      <c r="N17" s="321"/>
      <c r="O17" s="322"/>
      <c r="P17" s="320"/>
      <c r="Q17" s="321"/>
      <c r="R17" s="321"/>
      <c r="S17" s="321"/>
      <c r="T17" s="321"/>
      <c r="U17" s="322"/>
      <c r="V17" s="304"/>
      <c r="W17" s="300"/>
      <c r="X17" s="300"/>
      <c r="Y17" s="300"/>
      <c r="Z17" s="300"/>
      <c r="AA17" s="301"/>
      <c r="AB17" s="304"/>
      <c r="AC17" s="300"/>
      <c r="AD17" s="300"/>
      <c r="AE17" s="300"/>
      <c r="AF17" s="300"/>
      <c r="AG17" s="301"/>
      <c r="AH17" s="311"/>
      <c r="AI17" s="312"/>
      <c r="AJ17" s="312"/>
      <c r="AK17" s="312"/>
      <c r="AL17" s="312"/>
      <c r="AM17" s="313"/>
      <c r="AN17" s="83"/>
      <c r="AO17" s="267"/>
      <c r="AP17" s="268"/>
      <c r="AQ17" s="268"/>
      <c r="AR17" s="268"/>
      <c r="AS17" s="268"/>
      <c r="AT17" s="26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53"/>
      <c r="C18" s="253"/>
      <c r="D18" s="254"/>
      <c r="E18" s="294"/>
      <c r="F18" s="295"/>
      <c r="G18" s="295"/>
      <c r="H18" s="295"/>
      <c r="I18" s="295"/>
      <c r="J18" s="320" t="str">
        <f>IF(AND('Mapa final'!$H$21="Alta",'Mapa final'!$L$21="Leve"),CONCATENATE("R",'Mapa final'!$A$21),"")</f>
        <v/>
      </c>
      <c r="K18" s="321"/>
      <c r="L18" s="321" t="str">
        <f>IF(AND('Mapa final'!$H$27="Alta",'Mapa final'!$L$27="Leve"),CONCATENATE("R",'Mapa final'!$A$27),"")</f>
        <v/>
      </c>
      <c r="M18" s="321"/>
      <c r="N18" s="321" t="str">
        <f>IF(AND('Mapa final'!$H$33="Alta",'Mapa final'!$L$33="Leve"),CONCATENATE("R",'Mapa final'!$A$33),"")</f>
        <v/>
      </c>
      <c r="O18" s="322"/>
      <c r="P18" s="320" t="str">
        <f>IF(AND('Mapa final'!$H$21="Alta",'Mapa final'!$L$21="Menor"),CONCATENATE("R",'Mapa final'!$A$21),"")</f>
        <v/>
      </c>
      <c r="Q18" s="321"/>
      <c r="R18" s="321" t="str">
        <f>IF(AND('Mapa final'!$H$27="Alta",'Mapa final'!$L$27="Menor"),CONCATENATE("R",'Mapa final'!$A$27),"")</f>
        <v/>
      </c>
      <c r="S18" s="321"/>
      <c r="T18" s="321" t="str">
        <f>IF(AND('Mapa final'!$H$33="Alta",'Mapa final'!$L$33="Menor"),CONCATENATE("R",'Mapa final'!$A$33),"")</f>
        <v/>
      </c>
      <c r="U18" s="322"/>
      <c r="V18" s="304" t="str">
        <f>IF(AND('Mapa final'!$H$21="Alta",'Mapa final'!$L$21="Moderado"),CONCATENATE("R",'Mapa final'!$A$21),"")</f>
        <v/>
      </c>
      <c r="W18" s="300"/>
      <c r="X18" s="300" t="str">
        <f>IF(AND('Mapa final'!$H$27="Alta",'Mapa final'!$L$27="Moderado"),CONCATENATE("R",'Mapa final'!$A$27),"")</f>
        <v/>
      </c>
      <c r="Y18" s="300"/>
      <c r="Z18" s="300" t="str">
        <f>IF(AND('Mapa final'!$H$33="Alta",'Mapa final'!$L$33="Moderado"),CONCATENATE("R",'Mapa final'!$A$33),"")</f>
        <v/>
      </c>
      <c r="AA18" s="301"/>
      <c r="AB18" s="304" t="str">
        <f>IF(AND('Mapa final'!$H$21="Alta",'Mapa final'!$L$21="Mayor"),CONCATENATE("R",'Mapa final'!$A$21),"")</f>
        <v/>
      </c>
      <c r="AC18" s="300"/>
      <c r="AD18" s="300" t="str">
        <f>IF(AND('Mapa final'!$H$27="Alta",'Mapa final'!$L$27="Mayor"),CONCATENATE("R",'Mapa final'!$A$27),"")</f>
        <v/>
      </c>
      <c r="AE18" s="300"/>
      <c r="AF18" s="300" t="str">
        <f>IF(AND('Mapa final'!$H$33="Alta",'Mapa final'!$L$33="Mayor"),CONCATENATE("R",'Mapa final'!$A$33),"")</f>
        <v/>
      </c>
      <c r="AG18" s="301"/>
      <c r="AH18" s="311" t="str">
        <f>IF(AND('Mapa final'!$H$21="Alta",'Mapa final'!$L$21="Catastrófico"),CONCATENATE("R",'Mapa final'!$A$21),"")</f>
        <v/>
      </c>
      <c r="AI18" s="312"/>
      <c r="AJ18" s="312" t="str">
        <f>IF(AND('Mapa final'!$H$27="Alta",'Mapa final'!$L$27="Catastrófico"),CONCATENATE("R",'Mapa final'!$A$27),"")</f>
        <v/>
      </c>
      <c r="AK18" s="312"/>
      <c r="AL18" s="312" t="str">
        <f>IF(AND('Mapa final'!$H$33="Alta",'Mapa final'!$L$33="Catastrófico"),CONCATENATE("R",'Mapa final'!$A$33),"")</f>
        <v/>
      </c>
      <c r="AM18" s="313"/>
      <c r="AN18" s="83"/>
      <c r="AO18" s="267"/>
      <c r="AP18" s="268"/>
      <c r="AQ18" s="268"/>
      <c r="AR18" s="268"/>
      <c r="AS18" s="268"/>
      <c r="AT18" s="26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53"/>
      <c r="C19" s="253"/>
      <c r="D19" s="254"/>
      <c r="E19" s="294"/>
      <c r="F19" s="295"/>
      <c r="G19" s="295"/>
      <c r="H19" s="295"/>
      <c r="I19" s="295"/>
      <c r="J19" s="320"/>
      <c r="K19" s="321"/>
      <c r="L19" s="321"/>
      <c r="M19" s="321"/>
      <c r="N19" s="321"/>
      <c r="O19" s="322"/>
      <c r="P19" s="320"/>
      <c r="Q19" s="321"/>
      <c r="R19" s="321"/>
      <c r="S19" s="321"/>
      <c r="T19" s="321"/>
      <c r="U19" s="322"/>
      <c r="V19" s="304"/>
      <c r="W19" s="300"/>
      <c r="X19" s="300"/>
      <c r="Y19" s="300"/>
      <c r="Z19" s="300"/>
      <c r="AA19" s="301"/>
      <c r="AB19" s="304"/>
      <c r="AC19" s="300"/>
      <c r="AD19" s="300"/>
      <c r="AE19" s="300"/>
      <c r="AF19" s="300"/>
      <c r="AG19" s="301"/>
      <c r="AH19" s="311"/>
      <c r="AI19" s="312"/>
      <c r="AJ19" s="312"/>
      <c r="AK19" s="312"/>
      <c r="AL19" s="312"/>
      <c r="AM19" s="313"/>
      <c r="AN19" s="83"/>
      <c r="AO19" s="267"/>
      <c r="AP19" s="268"/>
      <c r="AQ19" s="268"/>
      <c r="AR19" s="268"/>
      <c r="AS19" s="268"/>
      <c r="AT19" s="26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53"/>
      <c r="C20" s="253"/>
      <c r="D20" s="254"/>
      <c r="E20" s="294"/>
      <c r="F20" s="295"/>
      <c r="G20" s="295"/>
      <c r="H20" s="295"/>
      <c r="I20" s="295"/>
      <c r="J20" s="320" t="str">
        <f>IF(AND('Mapa final'!$H$39="Alta",'Mapa final'!$L$39="Leve"),CONCATENATE("R",'Mapa final'!$A$39),"")</f>
        <v/>
      </c>
      <c r="K20" s="321"/>
      <c r="L20" s="321" t="str">
        <f>IF(AND('Mapa final'!$H$45="Alta",'Mapa final'!$L$45="Leve"),CONCATENATE("R",'Mapa final'!$A$45),"")</f>
        <v/>
      </c>
      <c r="M20" s="321"/>
      <c r="N20" s="321" t="str">
        <f>IF(AND('Mapa final'!$H$51="Alta",'Mapa final'!$L$51="Leve"),CONCATENATE("R",'Mapa final'!$A$51),"")</f>
        <v/>
      </c>
      <c r="O20" s="322"/>
      <c r="P20" s="320" t="str">
        <f>IF(AND('Mapa final'!$H$39="Alta",'Mapa final'!$L$39="Menor"),CONCATENATE("R",'Mapa final'!$A$39),"")</f>
        <v/>
      </c>
      <c r="Q20" s="321"/>
      <c r="R20" s="321" t="str">
        <f>IF(AND('Mapa final'!$H$45="Alta",'Mapa final'!$L$45="Menor"),CONCATENATE("R",'Mapa final'!$A$45),"")</f>
        <v/>
      </c>
      <c r="S20" s="321"/>
      <c r="T20" s="321" t="str">
        <f>IF(AND('Mapa final'!$H$51="Alta",'Mapa final'!$L$51="Menor"),CONCATENATE("R",'Mapa final'!$A$51),"")</f>
        <v/>
      </c>
      <c r="U20" s="322"/>
      <c r="V20" s="304" t="str">
        <f>IF(AND('Mapa final'!$H$39="Alta",'Mapa final'!$L$39="Moderado"),CONCATENATE("R",'Mapa final'!$A$39),"")</f>
        <v/>
      </c>
      <c r="W20" s="300"/>
      <c r="X20" s="300" t="str">
        <f>IF(AND('Mapa final'!$H$45="Alta",'Mapa final'!$L$45="Moderado"),CONCATENATE("R",'Mapa final'!$A$45),"")</f>
        <v/>
      </c>
      <c r="Y20" s="300"/>
      <c r="Z20" s="300" t="str">
        <f>IF(AND('Mapa final'!$H$51="Alta",'Mapa final'!$L$51="Moderado"),CONCATENATE("R",'Mapa final'!$A$51),"")</f>
        <v/>
      </c>
      <c r="AA20" s="301"/>
      <c r="AB20" s="304" t="str">
        <f>IF(AND('Mapa final'!$H$39="Alta",'Mapa final'!$L$39="Mayor"),CONCATENATE("R",'Mapa final'!$A$39),"")</f>
        <v/>
      </c>
      <c r="AC20" s="300"/>
      <c r="AD20" s="300" t="str">
        <f>IF(AND('Mapa final'!$H$45="Alta",'Mapa final'!$L$45="Mayor"),CONCATENATE("R",'Mapa final'!$A$45),"")</f>
        <v/>
      </c>
      <c r="AE20" s="300"/>
      <c r="AF20" s="300" t="str">
        <f>IF(AND('Mapa final'!$H$51="Alta",'Mapa final'!$L$51="Mayor"),CONCATENATE("R",'Mapa final'!$A$51),"")</f>
        <v/>
      </c>
      <c r="AG20" s="301"/>
      <c r="AH20" s="311" t="str">
        <f>IF(AND('Mapa final'!$H$39="Alta",'Mapa final'!$L$39="Catastrófico"),CONCATENATE("R",'Mapa final'!$A$39),"")</f>
        <v/>
      </c>
      <c r="AI20" s="312"/>
      <c r="AJ20" s="312" t="str">
        <f>IF(AND('Mapa final'!$H$45="Alta",'Mapa final'!$L$45="Catastrófico"),CONCATENATE("R",'Mapa final'!$A$45),"")</f>
        <v/>
      </c>
      <c r="AK20" s="312"/>
      <c r="AL20" s="312" t="str">
        <f>IF(AND('Mapa final'!$H$51="Alta",'Mapa final'!$L$51="Catastrófico"),CONCATENATE("R",'Mapa final'!$A$51),"")</f>
        <v/>
      </c>
      <c r="AM20" s="313"/>
      <c r="AN20" s="83"/>
      <c r="AO20" s="267"/>
      <c r="AP20" s="268"/>
      <c r="AQ20" s="268"/>
      <c r="AR20" s="268"/>
      <c r="AS20" s="268"/>
      <c r="AT20" s="26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53"/>
      <c r="C21" s="253"/>
      <c r="D21" s="254"/>
      <c r="E21" s="297"/>
      <c r="F21" s="298"/>
      <c r="G21" s="298"/>
      <c r="H21" s="298"/>
      <c r="I21" s="298"/>
      <c r="J21" s="323"/>
      <c r="K21" s="324"/>
      <c r="L21" s="324"/>
      <c r="M21" s="324"/>
      <c r="N21" s="324"/>
      <c r="O21" s="325"/>
      <c r="P21" s="323"/>
      <c r="Q21" s="324"/>
      <c r="R21" s="324"/>
      <c r="S21" s="324"/>
      <c r="T21" s="324"/>
      <c r="U21" s="325"/>
      <c r="V21" s="308"/>
      <c r="W21" s="309"/>
      <c r="X21" s="309"/>
      <c r="Y21" s="309"/>
      <c r="Z21" s="309"/>
      <c r="AA21" s="310"/>
      <c r="AB21" s="308"/>
      <c r="AC21" s="309"/>
      <c r="AD21" s="309"/>
      <c r="AE21" s="309"/>
      <c r="AF21" s="309"/>
      <c r="AG21" s="310"/>
      <c r="AH21" s="314"/>
      <c r="AI21" s="315"/>
      <c r="AJ21" s="315"/>
      <c r="AK21" s="315"/>
      <c r="AL21" s="315"/>
      <c r="AM21" s="316"/>
      <c r="AN21" s="83"/>
      <c r="AO21" s="270"/>
      <c r="AP21" s="271"/>
      <c r="AQ21" s="271"/>
      <c r="AR21" s="271"/>
      <c r="AS21" s="271"/>
      <c r="AT21" s="27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53"/>
      <c r="C22" s="253"/>
      <c r="D22" s="254"/>
      <c r="E22" s="291" t="s">
        <v>117</v>
      </c>
      <c r="F22" s="292"/>
      <c r="G22" s="292"/>
      <c r="H22" s="292"/>
      <c r="I22" s="293"/>
      <c r="J22" s="326" t="str">
        <f>IF(AND('Mapa final'!$H$10="Media",'Mapa final'!$L$10="Leve"),CONCATENATE("R",'Mapa final'!$A$10),"")</f>
        <v/>
      </c>
      <c r="K22" s="327"/>
      <c r="L22" s="327" t="str">
        <f>IF(AND('Mapa final'!$H$11="Media",'Mapa final'!$L$11="Leve"),CONCATENATE("R",'Mapa final'!$A$11),"")</f>
        <v/>
      </c>
      <c r="M22" s="327"/>
      <c r="N22" s="327" t="str">
        <f>IF(AND('Mapa final'!$H$12="Media",'Mapa final'!$L$12="Leve"),CONCATENATE("R",'Mapa final'!$A$12),"")</f>
        <v/>
      </c>
      <c r="O22" s="328"/>
      <c r="P22" s="326" t="str">
        <f>IF(AND('Mapa final'!$H$10="Media",'Mapa final'!$L$10="Menor"),CONCATENATE("R",'Mapa final'!$A$10),"")</f>
        <v/>
      </c>
      <c r="Q22" s="327"/>
      <c r="R22" s="327" t="str">
        <f>IF(AND('Mapa final'!$H$11="Media",'Mapa final'!$L$11="Menor"),CONCATENATE("R",'Mapa final'!$A$11),"")</f>
        <v/>
      </c>
      <c r="S22" s="327"/>
      <c r="T22" s="327" t="str">
        <f>IF(AND('Mapa final'!$H$12="Media",'Mapa final'!$L$12="Menor"),CONCATENATE("R",'Mapa final'!$A$12),"")</f>
        <v/>
      </c>
      <c r="U22" s="328"/>
      <c r="V22" s="326" t="str">
        <f>IF(AND('Mapa final'!$H$10="Media",'Mapa final'!$L$10="Moderado"),CONCATENATE("R",'Mapa final'!$A$10),"")</f>
        <v/>
      </c>
      <c r="W22" s="327"/>
      <c r="X22" s="327" t="str">
        <f>IF(AND('Mapa final'!$H$11="Media",'Mapa final'!$L$11="Moderado"),CONCATENATE("R",'Mapa final'!$A$11),"")</f>
        <v/>
      </c>
      <c r="Y22" s="327"/>
      <c r="Z22" s="327" t="str">
        <f>IF(AND('Mapa final'!$H$12="Media",'Mapa final'!$L$12="Moderado"),CONCATENATE("R",'Mapa final'!$A$12),"")</f>
        <v>R3</v>
      </c>
      <c r="AA22" s="328"/>
      <c r="AB22" s="302" t="str">
        <f>IF(AND('Mapa final'!$H$10="Media",'Mapa final'!$L$10="Mayor"),CONCATENATE("R",'Mapa final'!$A$10),"")</f>
        <v/>
      </c>
      <c r="AC22" s="303"/>
      <c r="AD22" s="303" t="str">
        <f>IF(AND('Mapa final'!$H$11="Media",'Mapa final'!$L$11="Mayor"),CONCATENATE("R",'Mapa final'!$A$11),"")</f>
        <v/>
      </c>
      <c r="AE22" s="303"/>
      <c r="AF22" s="303" t="str">
        <f>IF(AND('Mapa final'!$H$12="Media",'Mapa final'!$L$12="Mayor"),CONCATENATE("R",'Mapa final'!$A$12),"")</f>
        <v/>
      </c>
      <c r="AG22" s="305"/>
      <c r="AH22" s="317" t="str">
        <f>IF(AND('Mapa final'!$H$10="Media",'Mapa final'!$L$10="Catastrófico"),CONCATENATE("R",'Mapa final'!$A$10),"")</f>
        <v/>
      </c>
      <c r="AI22" s="318"/>
      <c r="AJ22" s="318" t="str">
        <f>IF(AND('Mapa final'!$H$11="Media",'Mapa final'!$L$11="Catastrófico"),CONCATENATE("R",'Mapa final'!$A$11),"")</f>
        <v/>
      </c>
      <c r="AK22" s="318"/>
      <c r="AL22" s="318" t="str">
        <f>IF(AND('Mapa final'!$H$12="Media",'Mapa final'!$L$12="Catastrófico"),CONCATENATE("R",'Mapa final'!$A$12),"")</f>
        <v/>
      </c>
      <c r="AM22" s="319"/>
      <c r="AN22" s="83"/>
      <c r="AO22" s="273" t="s">
        <v>81</v>
      </c>
      <c r="AP22" s="274"/>
      <c r="AQ22" s="274"/>
      <c r="AR22" s="274"/>
      <c r="AS22" s="274"/>
      <c r="AT22" s="27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53"/>
      <c r="C23" s="253"/>
      <c r="D23" s="254"/>
      <c r="E23" s="294"/>
      <c r="F23" s="295"/>
      <c r="G23" s="295"/>
      <c r="H23" s="295"/>
      <c r="I23" s="296"/>
      <c r="J23" s="320"/>
      <c r="K23" s="321"/>
      <c r="L23" s="321"/>
      <c r="M23" s="321"/>
      <c r="N23" s="321"/>
      <c r="O23" s="322"/>
      <c r="P23" s="320"/>
      <c r="Q23" s="321"/>
      <c r="R23" s="321"/>
      <c r="S23" s="321"/>
      <c r="T23" s="321"/>
      <c r="U23" s="322"/>
      <c r="V23" s="320"/>
      <c r="W23" s="321"/>
      <c r="X23" s="321"/>
      <c r="Y23" s="321"/>
      <c r="Z23" s="321"/>
      <c r="AA23" s="322"/>
      <c r="AB23" s="304"/>
      <c r="AC23" s="300"/>
      <c r="AD23" s="300"/>
      <c r="AE23" s="300"/>
      <c r="AF23" s="300"/>
      <c r="AG23" s="301"/>
      <c r="AH23" s="311"/>
      <c r="AI23" s="312"/>
      <c r="AJ23" s="312"/>
      <c r="AK23" s="312"/>
      <c r="AL23" s="312"/>
      <c r="AM23" s="313"/>
      <c r="AN23" s="83"/>
      <c r="AO23" s="276"/>
      <c r="AP23" s="277"/>
      <c r="AQ23" s="277"/>
      <c r="AR23" s="277"/>
      <c r="AS23" s="277"/>
      <c r="AT23" s="27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53"/>
      <c r="C24" s="253"/>
      <c r="D24" s="254"/>
      <c r="E24" s="294"/>
      <c r="F24" s="295"/>
      <c r="G24" s="295"/>
      <c r="H24" s="295"/>
      <c r="I24" s="296"/>
      <c r="J24" s="320" t="str">
        <f>IF(AND('Mapa final'!$H$13="Media",'Mapa final'!$L$13="Leve"),CONCATENATE("R",'Mapa final'!$A$13),"")</f>
        <v/>
      </c>
      <c r="K24" s="321"/>
      <c r="L24" s="321" t="str">
        <f>IF(AND('Mapa final'!$H$14="Media",'Mapa final'!$L$14="Leve"),CONCATENATE("R",'Mapa final'!$A$14),"")</f>
        <v/>
      </c>
      <c r="M24" s="321"/>
      <c r="N24" s="321" t="str">
        <f>IF(AND('Mapa final'!$H$15="Media",'Mapa final'!$L$15="Leve"),CONCATENATE("R",'Mapa final'!$A$15),"")</f>
        <v/>
      </c>
      <c r="O24" s="322"/>
      <c r="P24" s="320" t="str">
        <f>IF(AND('Mapa final'!$H$13="Media",'Mapa final'!$L$13="Menor"),CONCATENATE("R",'Mapa final'!$A$13),"")</f>
        <v/>
      </c>
      <c r="Q24" s="321"/>
      <c r="R24" s="321" t="str">
        <f>IF(AND('Mapa final'!$H$14="Media",'Mapa final'!$L$14="Menor"),CONCATENATE("R",'Mapa final'!$A$14),"")</f>
        <v/>
      </c>
      <c r="S24" s="321"/>
      <c r="T24" s="321" t="str">
        <f>IF(AND('Mapa final'!$H$15="Media",'Mapa final'!$L$15="Menor"),CONCATENATE("R",'Mapa final'!$A$15),"")</f>
        <v/>
      </c>
      <c r="U24" s="322"/>
      <c r="V24" s="320" t="str">
        <f>IF(AND('Mapa final'!$H$13="Media",'Mapa final'!$L$13="Moderado"),CONCATENATE("R",'Mapa final'!$A$13),"")</f>
        <v>R4</v>
      </c>
      <c r="W24" s="321"/>
      <c r="X24" s="321" t="str">
        <f>IF(AND('Mapa final'!$H$14="Media",'Mapa final'!$L$14="Moderado"),CONCATENATE("R",'Mapa final'!$A$14),"")</f>
        <v/>
      </c>
      <c r="Y24" s="321"/>
      <c r="Z24" s="321" t="str">
        <f>IF(AND('Mapa final'!$H$15="Media",'Mapa final'!$L$15="Moderado"),CONCATENATE("R",'Mapa final'!$A$15),"")</f>
        <v/>
      </c>
      <c r="AA24" s="322"/>
      <c r="AB24" s="304" t="str">
        <f>IF(AND('Mapa final'!$H$13="Media",'Mapa final'!$L$13="Mayor"),CONCATENATE("R",'Mapa final'!$A$13),"")</f>
        <v/>
      </c>
      <c r="AC24" s="300"/>
      <c r="AD24" s="300" t="str">
        <f>IF(AND('Mapa final'!$H$14="Media",'Mapa final'!$L$14="Mayor"),CONCATENATE("R",'Mapa final'!$A$14),"")</f>
        <v/>
      </c>
      <c r="AE24" s="300"/>
      <c r="AF24" s="300" t="str">
        <f>IF(AND('Mapa final'!$H$15="Media",'Mapa final'!$L$15="Mayor"),CONCATENATE("R",'Mapa final'!$A$15),"")</f>
        <v/>
      </c>
      <c r="AG24" s="301"/>
      <c r="AH24" s="311" t="str">
        <f>IF(AND('Mapa final'!$H$13="Media",'Mapa final'!$L$13="Catastrófico"),CONCATENATE("R",'Mapa final'!$A$13),"")</f>
        <v/>
      </c>
      <c r="AI24" s="312"/>
      <c r="AJ24" s="312" t="str">
        <f>IF(AND('Mapa final'!$H$14="Media",'Mapa final'!$L$14="Catastrófico"),CONCATENATE("R",'Mapa final'!$A$14),"")</f>
        <v/>
      </c>
      <c r="AK24" s="312"/>
      <c r="AL24" s="312" t="str">
        <f>IF(AND('Mapa final'!$H$15="Media",'Mapa final'!$L$15="Catastrófico"),CONCATENATE("R",'Mapa final'!$A$15),"")</f>
        <v/>
      </c>
      <c r="AM24" s="313"/>
      <c r="AN24" s="83"/>
      <c r="AO24" s="276"/>
      <c r="AP24" s="277"/>
      <c r="AQ24" s="277"/>
      <c r="AR24" s="277"/>
      <c r="AS24" s="277"/>
      <c r="AT24" s="27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53"/>
      <c r="C25" s="253"/>
      <c r="D25" s="254"/>
      <c r="E25" s="294"/>
      <c r="F25" s="295"/>
      <c r="G25" s="295"/>
      <c r="H25" s="295"/>
      <c r="I25" s="296"/>
      <c r="J25" s="320"/>
      <c r="K25" s="321"/>
      <c r="L25" s="321"/>
      <c r="M25" s="321"/>
      <c r="N25" s="321"/>
      <c r="O25" s="322"/>
      <c r="P25" s="320"/>
      <c r="Q25" s="321"/>
      <c r="R25" s="321"/>
      <c r="S25" s="321"/>
      <c r="T25" s="321"/>
      <c r="U25" s="322"/>
      <c r="V25" s="320"/>
      <c r="W25" s="321"/>
      <c r="X25" s="321"/>
      <c r="Y25" s="321"/>
      <c r="Z25" s="321"/>
      <c r="AA25" s="322"/>
      <c r="AB25" s="304"/>
      <c r="AC25" s="300"/>
      <c r="AD25" s="300"/>
      <c r="AE25" s="300"/>
      <c r="AF25" s="300"/>
      <c r="AG25" s="301"/>
      <c r="AH25" s="311"/>
      <c r="AI25" s="312"/>
      <c r="AJ25" s="312"/>
      <c r="AK25" s="312"/>
      <c r="AL25" s="312"/>
      <c r="AM25" s="313"/>
      <c r="AN25" s="83"/>
      <c r="AO25" s="276"/>
      <c r="AP25" s="277"/>
      <c r="AQ25" s="277"/>
      <c r="AR25" s="277"/>
      <c r="AS25" s="277"/>
      <c r="AT25" s="27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53"/>
      <c r="C26" s="253"/>
      <c r="D26" s="254"/>
      <c r="E26" s="294"/>
      <c r="F26" s="295"/>
      <c r="G26" s="295"/>
      <c r="H26" s="295"/>
      <c r="I26" s="296"/>
      <c r="J26" s="320" t="str">
        <f>IF(AND('Mapa final'!$H$21="Media",'Mapa final'!$L$21="Leve"),CONCATENATE("R",'Mapa final'!$A$21),"")</f>
        <v/>
      </c>
      <c r="K26" s="321"/>
      <c r="L26" s="321" t="str">
        <f>IF(AND('Mapa final'!$H$27="Media",'Mapa final'!$L$27="Leve"),CONCATENATE("R",'Mapa final'!$A$27),"")</f>
        <v/>
      </c>
      <c r="M26" s="321"/>
      <c r="N26" s="321" t="str">
        <f>IF(AND('Mapa final'!$H$33="Media",'Mapa final'!$L$33="Leve"),CONCATENATE("R",'Mapa final'!$A$33),"")</f>
        <v/>
      </c>
      <c r="O26" s="322"/>
      <c r="P26" s="320" t="str">
        <f>IF(AND('Mapa final'!$H$21="Media",'Mapa final'!$L$21="Menor"),CONCATENATE("R",'Mapa final'!$A$21),"")</f>
        <v/>
      </c>
      <c r="Q26" s="321"/>
      <c r="R26" s="321" t="str">
        <f>IF(AND('Mapa final'!$H$27="Media",'Mapa final'!$L$27="Menor"),CONCATENATE("R",'Mapa final'!$A$27),"")</f>
        <v/>
      </c>
      <c r="S26" s="321"/>
      <c r="T26" s="321" t="str">
        <f>IF(AND('Mapa final'!$H$33="Media",'Mapa final'!$L$33="Menor"),CONCATENATE("R",'Mapa final'!$A$33),"")</f>
        <v/>
      </c>
      <c r="U26" s="322"/>
      <c r="V26" s="320" t="str">
        <f>IF(AND('Mapa final'!$H$21="Media",'Mapa final'!$L$21="Moderado"),CONCATENATE("R",'Mapa final'!$A$21),"")</f>
        <v/>
      </c>
      <c r="W26" s="321"/>
      <c r="X26" s="321" t="str">
        <f>IF(AND('Mapa final'!$H$27="Media",'Mapa final'!$L$27="Moderado"),CONCATENATE("R",'Mapa final'!$A$27),"")</f>
        <v/>
      </c>
      <c r="Y26" s="321"/>
      <c r="Z26" s="321" t="str">
        <f>IF(AND('Mapa final'!$H$33="Media",'Mapa final'!$L$33="Moderado"),CONCATENATE("R",'Mapa final'!$A$33),"")</f>
        <v/>
      </c>
      <c r="AA26" s="322"/>
      <c r="AB26" s="304" t="str">
        <f>IF(AND('Mapa final'!$H$21="Media",'Mapa final'!$L$21="Mayor"),CONCATENATE("R",'Mapa final'!$A$21),"")</f>
        <v/>
      </c>
      <c r="AC26" s="300"/>
      <c r="AD26" s="300" t="str">
        <f>IF(AND('Mapa final'!$H$27="Media",'Mapa final'!$L$27="Mayor"),CONCATENATE("R",'Mapa final'!$A$27),"")</f>
        <v/>
      </c>
      <c r="AE26" s="300"/>
      <c r="AF26" s="300" t="str">
        <f>IF(AND('Mapa final'!$H$33="Media",'Mapa final'!$L$33="Mayor"),CONCATENATE("R",'Mapa final'!$A$33),"")</f>
        <v/>
      </c>
      <c r="AG26" s="301"/>
      <c r="AH26" s="311" t="str">
        <f>IF(AND('Mapa final'!$H$21="Media",'Mapa final'!$L$21="Catastrófico"),CONCATENATE("R",'Mapa final'!$A$21),"")</f>
        <v/>
      </c>
      <c r="AI26" s="312"/>
      <c r="AJ26" s="312" t="str">
        <f>IF(AND('Mapa final'!$H$27="Media",'Mapa final'!$L$27="Catastrófico"),CONCATENATE("R",'Mapa final'!$A$27),"")</f>
        <v/>
      </c>
      <c r="AK26" s="312"/>
      <c r="AL26" s="312" t="str">
        <f>IF(AND('Mapa final'!$H$33="Media",'Mapa final'!$L$33="Catastrófico"),CONCATENATE("R",'Mapa final'!$A$33),"")</f>
        <v/>
      </c>
      <c r="AM26" s="313"/>
      <c r="AN26" s="83"/>
      <c r="AO26" s="276"/>
      <c r="AP26" s="277"/>
      <c r="AQ26" s="277"/>
      <c r="AR26" s="277"/>
      <c r="AS26" s="277"/>
      <c r="AT26" s="27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53"/>
      <c r="C27" s="253"/>
      <c r="D27" s="254"/>
      <c r="E27" s="294"/>
      <c r="F27" s="295"/>
      <c r="G27" s="295"/>
      <c r="H27" s="295"/>
      <c r="I27" s="296"/>
      <c r="J27" s="320"/>
      <c r="K27" s="321"/>
      <c r="L27" s="321"/>
      <c r="M27" s="321"/>
      <c r="N27" s="321"/>
      <c r="O27" s="322"/>
      <c r="P27" s="320"/>
      <c r="Q27" s="321"/>
      <c r="R27" s="321"/>
      <c r="S27" s="321"/>
      <c r="T27" s="321"/>
      <c r="U27" s="322"/>
      <c r="V27" s="320"/>
      <c r="W27" s="321"/>
      <c r="X27" s="321"/>
      <c r="Y27" s="321"/>
      <c r="Z27" s="321"/>
      <c r="AA27" s="322"/>
      <c r="AB27" s="304"/>
      <c r="AC27" s="300"/>
      <c r="AD27" s="300"/>
      <c r="AE27" s="300"/>
      <c r="AF27" s="300"/>
      <c r="AG27" s="301"/>
      <c r="AH27" s="311"/>
      <c r="AI27" s="312"/>
      <c r="AJ27" s="312"/>
      <c r="AK27" s="312"/>
      <c r="AL27" s="312"/>
      <c r="AM27" s="313"/>
      <c r="AN27" s="83"/>
      <c r="AO27" s="276"/>
      <c r="AP27" s="277"/>
      <c r="AQ27" s="277"/>
      <c r="AR27" s="277"/>
      <c r="AS27" s="277"/>
      <c r="AT27" s="27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53"/>
      <c r="C28" s="253"/>
      <c r="D28" s="254"/>
      <c r="E28" s="294"/>
      <c r="F28" s="295"/>
      <c r="G28" s="295"/>
      <c r="H28" s="295"/>
      <c r="I28" s="296"/>
      <c r="J28" s="320" t="str">
        <f>IF(AND('Mapa final'!$H$39="Media",'Mapa final'!$L$39="Leve"),CONCATENATE("R",'Mapa final'!$A$39),"")</f>
        <v/>
      </c>
      <c r="K28" s="321"/>
      <c r="L28" s="321" t="str">
        <f>IF(AND('Mapa final'!$H$45="Media",'Mapa final'!$L$45="Leve"),CONCATENATE("R",'Mapa final'!$A$45),"")</f>
        <v/>
      </c>
      <c r="M28" s="321"/>
      <c r="N28" s="321" t="str">
        <f>IF(AND('Mapa final'!$H$51="Media",'Mapa final'!$L$51="Leve"),CONCATENATE("R",'Mapa final'!$A$51),"")</f>
        <v/>
      </c>
      <c r="O28" s="322"/>
      <c r="P28" s="320" t="str">
        <f>IF(AND('Mapa final'!$H$39="Media",'Mapa final'!$L$39="Menor"),CONCATENATE("R",'Mapa final'!$A$39),"")</f>
        <v/>
      </c>
      <c r="Q28" s="321"/>
      <c r="R28" s="321" t="str">
        <f>IF(AND('Mapa final'!$H$45="Media",'Mapa final'!$L$45="Menor"),CONCATENATE("R",'Mapa final'!$A$45),"")</f>
        <v/>
      </c>
      <c r="S28" s="321"/>
      <c r="T28" s="321" t="str">
        <f>IF(AND('Mapa final'!$H$51="Media",'Mapa final'!$L$51="Menor"),CONCATENATE("R",'Mapa final'!$A$51),"")</f>
        <v/>
      </c>
      <c r="U28" s="322"/>
      <c r="V28" s="320" t="str">
        <f>IF(AND('Mapa final'!$H$39="Media",'Mapa final'!$L$39="Moderado"),CONCATENATE("R",'Mapa final'!$A$39),"")</f>
        <v/>
      </c>
      <c r="W28" s="321"/>
      <c r="X28" s="321" t="str">
        <f>IF(AND('Mapa final'!$H$45="Media",'Mapa final'!$L$45="Moderado"),CONCATENATE("R",'Mapa final'!$A$45),"")</f>
        <v/>
      </c>
      <c r="Y28" s="321"/>
      <c r="Z28" s="321" t="str">
        <f>IF(AND('Mapa final'!$H$51="Media",'Mapa final'!$L$51="Moderado"),CONCATENATE("R",'Mapa final'!$A$51),"")</f>
        <v/>
      </c>
      <c r="AA28" s="322"/>
      <c r="AB28" s="304" t="str">
        <f>IF(AND('Mapa final'!$H$39="Media",'Mapa final'!$L$39="Mayor"),CONCATENATE("R",'Mapa final'!$A$39),"")</f>
        <v/>
      </c>
      <c r="AC28" s="300"/>
      <c r="AD28" s="300" t="str">
        <f>IF(AND('Mapa final'!$H$45="Media",'Mapa final'!$L$45="Mayor"),CONCATENATE("R",'Mapa final'!$A$45),"")</f>
        <v/>
      </c>
      <c r="AE28" s="300"/>
      <c r="AF28" s="300" t="str">
        <f>IF(AND('Mapa final'!$H$51="Media",'Mapa final'!$L$51="Mayor"),CONCATENATE("R",'Mapa final'!$A$51),"")</f>
        <v/>
      </c>
      <c r="AG28" s="301"/>
      <c r="AH28" s="311" t="str">
        <f>IF(AND('Mapa final'!$H$39="Media",'Mapa final'!$L$39="Catastrófico"),CONCATENATE("R",'Mapa final'!$A$39),"")</f>
        <v/>
      </c>
      <c r="AI28" s="312"/>
      <c r="AJ28" s="312" t="str">
        <f>IF(AND('Mapa final'!$H$45="Media",'Mapa final'!$L$45="Catastrófico"),CONCATENATE("R",'Mapa final'!$A$45),"")</f>
        <v/>
      </c>
      <c r="AK28" s="312"/>
      <c r="AL28" s="312" t="str">
        <f>IF(AND('Mapa final'!$H$51="Media",'Mapa final'!$L$51="Catastrófico"),CONCATENATE("R",'Mapa final'!$A$51),"")</f>
        <v/>
      </c>
      <c r="AM28" s="313"/>
      <c r="AN28" s="83"/>
      <c r="AO28" s="276"/>
      <c r="AP28" s="277"/>
      <c r="AQ28" s="277"/>
      <c r="AR28" s="277"/>
      <c r="AS28" s="277"/>
      <c r="AT28" s="27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53"/>
      <c r="C29" s="253"/>
      <c r="D29" s="254"/>
      <c r="E29" s="297"/>
      <c r="F29" s="298"/>
      <c r="G29" s="298"/>
      <c r="H29" s="298"/>
      <c r="I29" s="299"/>
      <c r="J29" s="320"/>
      <c r="K29" s="321"/>
      <c r="L29" s="321"/>
      <c r="M29" s="321"/>
      <c r="N29" s="321"/>
      <c r="O29" s="322"/>
      <c r="P29" s="323"/>
      <c r="Q29" s="324"/>
      <c r="R29" s="324"/>
      <c r="S29" s="324"/>
      <c r="T29" s="324"/>
      <c r="U29" s="325"/>
      <c r="V29" s="323"/>
      <c r="W29" s="324"/>
      <c r="X29" s="324"/>
      <c r="Y29" s="324"/>
      <c r="Z29" s="324"/>
      <c r="AA29" s="325"/>
      <c r="AB29" s="308"/>
      <c r="AC29" s="309"/>
      <c r="AD29" s="309"/>
      <c r="AE29" s="309"/>
      <c r="AF29" s="309"/>
      <c r="AG29" s="310"/>
      <c r="AH29" s="314"/>
      <c r="AI29" s="315"/>
      <c r="AJ29" s="315"/>
      <c r="AK29" s="315"/>
      <c r="AL29" s="315"/>
      <c r="AM29" s="316"/>
      <c r="AN29" s="83"/>
      <c r="AO29" s="279"/>
      <c r="AP29" s="280"/>
      <c r="AQ29" s="280"/>
      <c r="AR29" s="280"/>
      <c r="AS29" s="280"/>
      <c r="AT29" s="28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53"/>
      <c r="C30" s="253"/>
      <c r="D30" s="254"/>
      <c r="E30" s="291" t="s">
        <v>114</v>
      </c>
      <c r="F30" s="292"/>
      <c r="G30" s="292"/>
      <c r="H30" s="292"/>
      <c r="I30" s="292"/>
      <c r="J30" s="335" t="str">
        <f>IF(AND('Mapa final'!$H$10="Baja",'Mapa final'!$L$10="Leve"),CONCATENATE("R",'Mapa final'!$A$10),"")</f>
        <v/>
      </c>
      <c r="K30" s="336"/>
      <c r="L30" s="336" t="str">
        <f>IF(AND('Mapa final'!$H$11="Baja",'Mapa final'!$L$11="Leve"),CONCATENATE("R",'Mapa final'!$A$11),"")</f>
        <v/>
      </c>
      <c r="M30" s="336"/>
      <c r="N30" s="336" t="str">
        <f>IF(AND('Mapa final'!$H$12="Baja",'Mapa final'!$L$12="Leve"),CONCATENATE("R",'Mapa final'!$A$12),"")</f>
        <v/>
      </c>
      <c r="O30" s="337"/>
      <c r="P30" s="327" t="str">
        <f>IF(AND('Mapa final'!$H$10="Baja",'Mapa final'!$L$10="Menor"),CONCATENATE("R",'Mapa final'!$A$10),"")</f>
        <v/>
      </c>
      <c r="Q30" s="327"/>
      <c r="R30" s="327" t="str">
        <f>IF(AND('Mapa final'!$H$11="Baja",'Mapa final'!$L$11="Menor"),CONCATENATE("R",'Mapa final'!$A$11),"")</f>
        <v/>
      </c>
      <c r="S30" s="327"/>
      <c r="T30" s="327" t="str">
        <f>IF(AND('Mapa final'!$H$12="Baja",'Mapa final'!$L$12="Menor"),CONCATENATE("R",'Mapa final'!$A$12),"")</f>
        <v/>
      </c>
      <c r="U30" s="328"/>
      <c r="V30" s="326" t="str">
        <f>IF(AND('Mapa final'!$H$10="Baja",'Mapa final'!$L$10="Moderado"),CONCATENATE("R",'Mapa final'!$A$10),"")</f>
        <v/>
      </c>
      <c r="W30" s="327"/>
      <c r="X30" s="327" t="str">
        <f>IF(AND('Mapa final'!$H$11="Baja",'Mapa final'!$L$11="Moderado"),CONCATENATE("R",'Mapa final'!$A$11),"")</f>
        <v/>
      </c>
      <c r="Y30" s="327"/>
      <c r="Z30" s="327" t="str">
        <f>IF(AND('Mapa final'!$H$12="Baja",'Mapa final'!$L$12="Moderado"),CONCATENATE("R",'Mapa final'!$A$12),"")</f>
        <v/>
      </c>
      <c r="AA30" s="328"/>
      <c r="AB30" s="302" t="str">
        <f>IF(AND('Mapa final'!$H$10="Baja",'Mapa final'!$L$10="Mayor"),CONCATENATE("R",'Mapa final'!$A$10),"")</f>
        <v/>
      </c>
      <c r="AC30" s="303"/>
      <c r="AD30" s="303" t="str">
        <f>IF(AND('Mapa final'!$H$11="Baja",'Mapa final'!$L$11="Mayor"),CONCATENATE("R",'Mapa final'!$A$11),"")</f>
        <v/>
      </c>
      <c r="AE30" s="303"/>
      <c r="AF30" s="303" t="str">
        <f>IF(AND('Mapa final'!$H$12="Baja",'Mapa final'!$L$12="Mayor"),CONCATENATE("R",'Mapa final'!$A$12),"")</f>
        <v/>
      </c>
      <c r="AG30" s="305"/>
      <c r="AH30" s="317" t="str">
        <f>IF(AND('Mapa final'!$H$10="Baja",'Mapa final'!$L$10="Catastrófico"),CONCATENATE("R",'Mapa final'!$A$10),"")</f>
        <v/>
      </c>
      <c r="AI30" s="318"/>
      <c r="AJ30" s="318" t="str">
        <f>IF(AND('Mapa final'!$H$11="Baja",'Mapa final'!$L$11="Catastrófico"),CONCATENATE("R",'Mapa final'!$A$11),"")</f>
        <v/>
      </c>
      <c r="AK30" s="318"/>
      <c r="AL30" s="318" t="str">
        <f>IF(AND('Mapa final'!$H$12="Baja",'Mapa final'!$L$12="Catastrófico"),CONCATENATE("R",'Mapa final'!$A$12),"")</f>
        <v/>
      </c>
      <c r="AM30" s="319"/>
      <c r="AN30" s="83"/>
      <c r="AO30" s="282" t="s">
        <v>82</v>
      </c>
      <c r="AP30" s="283"/>
      <c r="AQ30" s="283"/>
      <c r="AR30" s="283"/>
      <c r="AS30" s="283"/>
      <c r="AT30" s="284"/>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53"/>
      <c r="C31" s="253"/>
      <c r="D31" s="254"/>
      <c r="E31" s="294"/>
      <c r="F31" s="295"/>
      <c r="G31" s="295"/>
      <c r="H31" s="295"/>
      <c r="I31" s="295"/>
      <c r="J31" s="331"/>
      <c r="K31" s="329"/>
      <c r="L31" s="329"/>
      <c r="M31" s="329"/>
      <c r="N31" s="329"/>
      <c r="O31" s="330"/>
      <c r="P31" s="321"/>
      <c r="Q31" s="321"/>
      <c r="R31" s="321"/>
      <c r="S31" s="321"/>
      <c r="T31" s="321"/>
      <c r="U31" s="322"/>
      <c r="V31" s="320"/>
      <c r="W31" s="321"/>
      <c r="X31" s="321"/>
      <c r="Y31" s="321"/>
      <c r="Z31" s="321"/>
      <c r="AA31" s="322"/>
      <c r="AB31" s="304"/>
      <c r="AC31" s="300"/>
      <c r="AD31" s="300"/>
      <c r="AE31" s="300"/>
      <c r="AF31" s="300"/>
      <c r="AG31" s="301"/>
      <c r="AH31" s="311"/>
      <c r="AI31" s="312"/>
      <c r="AJ31" s="312"/>
      <c r="AK31" s="312"/>
      <c r="AL31" s="312"/>
      <c r="AM31" s="313"/>
      <c r="AN31" s="83"/>
      <c r="AO31" s="285"/>
      <c r="AP31" s="286"/>
      <c r="AQ31" s="286"/>
      <c r="AR31" s="286"/>
      <c r="AS31" s="286"/>
      <c r="AT31" s="28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53"/>
      <c r="C32" s="253"/>
      <c r="D32" s="254"/>
      <c r="E32" s="294"/>
      <c r="F32" s="295"/>
      <c r="G32" s="295"/>
      <c r="H32" s="295"/>
      <c r="I32" s="295"/>
      <c r="J32" s="331" t="str">
        <f>IF(AND('Mapa final'!$H$13="Baja",'Mapa final'!$L$13="Leve"),CONCATENATE("R",'Mapa final'!$A$13),"")</f>
        <v/>
      </c>
      <c r="K32" s="329"/>
      <c r="L32" s="329" t="str">
        <f>IF(AND('Mapa final'!$H$14="Baja",'Mapa final'!$L$14="Leve"),CONCATENATE("R",'Mapa final'!$A$14),"")</f>
        <v/>
      </c>
      <c r="M32" s="329"/>
      <c r="N32" s="329" t="str">
        <f>IF(AND('Mapa final'!$H$15="Baja",'Mapa final'!$L$15="Leve"),CONCATENATE("R",'Mapa final'!$A$15),"")</f>
        <v/>
      </c>
      <c r="O32" s="330"/>
      <c r="P32" s="321" t="str">
        <f>IF(AND('Mapa final'!$H$13="Baja",'Mapa final'!$L$13="Menor"),CONCATENATE("R",'Mapa final'!$A$13),"")</f>
        <v/>
      </c>
      <c r="Q32" s="321"/>
      <c r="R32" s="321" t="str">
        <f>IF(AND('Mapa final'!$H$14="Baja",'Mapa final'!$L$14="Menor"),CONCATENATE("R",'Mapa final'!$A$14),"")</f>
        <v/>
      </c>
      <c r="S32" s="321"/>
      <c r="T32" s="321" t="str">
        <f>IF(AND('Mapa final'!$H$15="Baja",'Mapa final'!$L$15="Menor"),CONCATENATE("R",'Mapa final'!$A$15),"")</f>
        <v/>
      </c>
      <c r="U32" s="322"/>
      <c r="V32" s="320" t="str">
        <f>IF(AND('Mapa final'!$H$13="Baja",'Mapa final'!$L$13="Moderado"),CONCATENATE("R",'Mapa final'!$A$13),"")</f>
        <v/>
      </c>
      <c r="W32" s="321"/>
      <c r="X32" s="321" t="str">
        <f>IF(AND('Mapa final'!$H$14="Baja",'Mapa final'!$L$14="Moderado"),CONCATENATE("R",'Mapa final'!$A$14),"")</f>
        <v/>
      </c>
      <c r="Y32" s="321"/>
      <c r="Z32" s="321" t="str">
        <f>IF(AND('Mapa final'!$H$15="Baja",'Mapa final'!$L$15="Moderado"),CONCATENATE("R",'Mapa final'!$A$15),"")</f>
        <v/>
      </c>
      <c r="AA32" s="322"/>
      <c r="AB32" s="304" t="str">
        <f>IF(AND('Mapa final'!$H$13="Baja",'Mapa final'!$L$13="Mayor"),CONCATENATE("R",'Mapa final'!$A$13),"")</f>
        <v/>
      </c>
      <c r="AC32" s="300"/>
      <c r="AD32" s="300" t="str">
        <f>IF(AND('Mapa final'!$H$14="Baja",'Mapa final'!$L$14="Mayor"),CONCATENATE("R",'Mapa final'!$A$14),"")</f>
        <v/>
      </c>
      <c r="AE32" s="300"/>
      <c r="AF32" s="300" t="str">
        <f>IF(AND('Mapa final'!$H$15="Baja",'Mapa final'!$L$15="Mayor"),CONCATENATE("R",'Mapa final'!$A$15),"")</f>
        <v/>
      </c>
      <c r="AG32" s="301"/>
      <c r="AH32" s="311" t="str">
        <f>IF(AND('Mapa final'!$H$13="Baja",'Mapa final'!$L$13="Catastrófico"),CONCATENATE("R",'Mapa final'!$A$13),"")</f>
        <v/>
      </c>
      <c r="AI32" s="312"/>
      <c r="AJ32" s="312" t="str">
        <f>IF(AND('Mapa final'!$H$14="Baja",'Mapa final'!$L$14="Catastrófico"),CONCATENATE("R",'Mapa final'!$A$14),"")</f>
        <v/>
      </c>
      <c r="AK32" s="312"/>
      <c r="AL32" s="312" t="str">
        <f>IF(AND('Mapa final'!$H$15="Baja",'Mapa final'!$L$15="Catastrófico"),CONCATENATE("R",'Mapa final'!$A$15),"")</f>
        <v/>
      </c>
      <c r="AM32" s="313"/>
      <c r="AN32" s="83"/>
      <c r="AO32" s="285"/>
      <c r="AP32" s="286"/>
      <c r="AQ32" s="286"/>
      <c r="AR32" s="286"/>
      <c r="AS32" s="286"/>
      <c r="AT32" s="28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53"/>
      <c r="C33" s="253"/>
      <c r="D33" s="254"/>
      <c r="E33" s="294"/>
      <c r="F33" s="295"/>
      <c r="G33" s="295"/>
      <c r="H33" s="295"/>
      <c r="I33" s="295"/>
      <c r="J33" s="331"/>
      <c r="K33" s="329"/>
      <c r="L33" s="329"/>
      <c r="M33" s="329"/>
      <c r="N33" s="329"/>
      <c r="O33" s="330"/>
      <c r="P33" s="321"/>
      <c r="Q33" s="321"/>
      <c r="R33" s="321"/>
      <c r="S33" s="321"/>
      <c r="T33" s="321"/>
      <c r="U33" s="322"/>
      <c r="V33" s="320"/>
      <c r="W33" s="321"/>
      <c r="X33" s="321"/>
      <c r="Y33" s="321"/>
      <c r="Z33" s="321"/>
      <c r="AA33" s="322"/>
      <c r="AB33" s="304"/>
      <c r="AC33" s="300"/>
      <c r="AD33" s="300"/>
      <c r="AE33" s="300"/>
      <c r="AF33" s="300"/>
      <c r="AG33" s="301"/>
      <c r="AH33" s="311"/>
      <c r="AI33" s="312"/>
      <c r="AJ33" s="312"/>
      <c r="AK33" s="312"/>
      <c r="AL33" s="312"/>
      <c r="AM33" s="313"/>
      <c r="AN33" s="83"/>
      <c r="AO33" s="285"/>
      <c r="AP33" s="286"/>
      <c r="AQ33" s="286"/>
      <c r="AR33" s="286"/>
      <c r="AS33" s="286"/>
      <c r="AT33" s="28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53"/>
      <c r="C34" s="253"/>
      <c r="D34" s="254"/>
      <c r="E34" s="294"/>
      <c r="F34" s="295"/>
      <c r="G34" s="295"/>
      <c r="H34" s="295"/>
      <c r="I34" s="295"/>
      <c r="J34" s="331" t="str">
        <f>IF(AND('Mapa final'!$H$21="Baja",'Mapa final'!$L$21="Leve"),CONCATENATE("R",'Mapa final'!$A$21),"")</f>
        <v/>
      </c>
      <c r="K34" s="329"/>
      <c r="L34" s="329" t="str">
        <f>IF(AND('Mapa final'!$H$27="Baja",'Mapa final'!$L$27="Leve"),CONCATENATE("R",'Mapa final'!$A$27),"")</f>
        <v/>
      </c>
      <c r="M34" s="329"/>
      <c r="N34" s="329" t="str">
        <f>IF(AND('Mapa final'!$H$33="Baja",'Mapa final'!$L$33="Leve"),CONCATENATE("R",'Mapa final'!$A$33),"")</f>
        <v/>
      </c>
      <c r="O34" s="330"/>
      <c r="P34" s="321" t="str">
        <f>IF(AND('Mapa final'!$H$21="Baja",'Mapa final'!$L$21="Menor"),CONCATENATE("R",'Mapa final'!$A$21),"")</f>
        <v/>
      </c>
      <c r="Q34" s="321"/>
      <c r="R34" s="321" t="str">
        <f>IF(AND('Mapa final'!$H$27="Baja",'Mapa final'!$L$27="Menor"),CONCATENATE("R",'Mapa final'!$A$27),"")</f>
        <v/>
      </c>
      <c r="S34" s="321"/>
      <c r="T34" s="321" t="str">
        <f>IF(AND('Mapa final'!$H$33="Baja",'Mapa final'!$L$33="Menor"),CONCATENATE("R",'Mapa final'!$A$33),"")</f>
        <v/>
      </c>
      <c r="U34" s="322"/>
      <c r="V34" s="320" t="str">
        <f>IF(AND('Mapa final'!$H$21="Baja",'Mapa final'!$L$21="Moderado"),CONCATENATE("R",'Mapa final'!$A$21),"")</f>
        <v/>
      </c>
      <c r="W34" s="321"/>
      <c r="X34" s="321" t="str">
        <f>IF(AND('Mapa final'!$H$27="Baja",'Mapa final'!$L$27="Moderado"),CONCATENATE("R",'Mapa final'!$A$27),"")</f>
        <v/>
      </c>
      <c r="Y34" s="321"/>
      <c r="Z34" s="321" t="str">
        <f>IF(AND('Mapa final'!$H$33="Baja",'Mapa final'!$L$33="Moderado"),CONCATENATE("R",'Mapa final'!$A$33),"")</f>
        <v/>
      </c>
      <c r="AA34" s="322"/>
      <c r="AB34" s="304" t="str">
        <f>IF(AND('Mapa final'!$H$21="Baja",'Mapa final'!$L$21="Mayor"),CONCATENATE("R",'Mapa final'!$A$21),"")</f>
        <v/>
      </c>
      <c r="AC34" s="300"/>
      <c r="AD34" s="300" t="str">
        <f>IF(AND('Mapa final'!$H$27="Baja",'Mapa final'!$L$27="Mayor"),CONCATENATE("R",'Mapa final'!$A$27),"")</f>
        <v/>
      </c>
      <c r="AE34" s="300"/>
      <c r="AF34" s="300" t="str">
        <f>IF(AND('Mapa final'!$H$33="Baja",'Mapa final'!$L$33="Mayor"),CONCATENATE("R",'Mapa final'!$A$33),"")</f>
        <v/>
      </c>
      <c r="AG34" s="301"/>
      <c r="AH34" s="311" t="str">
        <f>IF(AND('Mapa final'!$H$21="Baja",'Mapa final'!$L$21="Catastrófico"),CONCATENATE("R",'Mapa final'!$A$21),"")</f>
        <v/>
      </c>
      <c r="AI34" s="312"/>
      <c r="AJ34" s="312" t="str">
        <f>IF(AND('Mapa final'!$H$27="Baja",'Mapa final'!$L$27="Catastrófico"),CONCATENATE("R",'Mapa final'!$A$27),"")</f>
        <v/>
      </c>
      <c r="AK34" s="312"/>
      <c r="AL34" s="312" t="str">
        <f>IF(AND('Mapa final'!$H$33="Baja",'Mapa final'!$L$33="Catastrófico"),CONCATENATE("R",'Mapa final'!$A$33),"")</f>
        <v/>
      </c>
      <c r="AM34" s="313"/>
      <c r="AN34" s="83"/>
      <c r="AO34" s="285"/>
      <c r="AP34" s="286"/>
      <c r="AQ34" s="286"/>
      <c r="AR34" s="286"/>
      <c r="AS34" s="286"/>
      <c r="AT34" s="28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53"/>
      <c r="C35" s="253"/>
      <c r="D35" s="254"/>
      <c r="E35" s="294"/>
      <c r="F35" s="295"/>
      <c r="G35" s="295"/>
      <c r="H35" s="295"/>
      <c r="I35" s="295"/>
      <c r="J35" s="331"/>
      <c r="K35" s="329"/>
      <c r="L35" s="329"/>
      <c r="M35" s="329"/>
      <c r="N35" s="329"/>
      <c r="O35" s="330"/>
      <c r="P35" s="321"/>
      <c r="Q35" s="321"/>
      <c r="R35" s="321"/>
      <c r="S35" s="321"/>
      <c r="T35" s="321"/>
      <c r="U35" s="322"/>
      <c r="V35" s="320"/>
      <c r="W35" s="321"/>
      <c r="X35" s="321"/>
      <c r="Y35" s="321"/>
      <c r="Z35" s="321"/>
      <c r="AA35" s="322"/>
      <c r="AB35" s="304"/>
      <c r="AC35" s="300"/>
      <c r="AD35" s="300"/>
      <c r="AE35" s="300"/>
      <c r="AF35" s="300"/>
      <c r="AG35" s="301"/>
      <c r="AH35" s="311"/>
      <c r="AI35" s="312"/>
      <c r="AJ35" s="312"/>
      <c r="AK35" s="312"/>
      <c r="AL35" s="312"/>
      <c r="AM35" s="313"/>
      <c r="AN35" s="83"/>
      <c r="AO35" s="285"/>
      <c r="AP35" s="286"/>
      <c r="AQ35" s="286"/>
      <c r="AR35" s="286"/>
      <c r="AS35" s="286"/>
      <c r="AT35" s="287"/>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53"/>
      <c r="C36" s="253"/>
      <c r="D36" s="254"/>
      <c r="E36" s="294"/>
      <c r="F36" s="295"/>
      <c r="G36" s="295"/>
      <c r="H36" s="295"/>
      <c r="I36" s="295"/>
      <c r="J36" s="331" t="str">
        <f>IF(AND('Mapa final'!$H$39="Baja",'Mapa final'!$L$39="Leve"),CONCATENATE("R",'Mapa final'!$A$39),"")</f>
        <v/>
      </c>
      <c r="K36" s="329"/>
      <c r="L36" s="329" t="str">
        <f>IF(AND('Mapa final'!$H$45="Baja",'Mapa final'!$L$45="Leve"),CONCATENATE("R",'Mapa final'!$A$45),"")</f>
        <v/>
      </c>
      <c r="M36" s="329"/>
      <c r="N36" s="329" t="str">
        <f>IF(AND('Mapa final'!$H$51="Baja",'Mapa final'!$L$51="Leve"),CONCATENATE("R",'Mapa final'!$A$51),"")</f>
        <v/>
      </c>
      <c r="O36" s="330"/>
      <c r="P36" s="321" t="str">
        <f>IF(AND('Mapa final'!$H$39="Baja",'Mapa final'!$L$39="Menor"),CONCATENATE("R",'Mapa final'!$A$39),"")</f>
        <v/>
      </c>
      <c r="Q36" s="321"/>
      <c r="R36" s="321" t="str">
        <f>IF(AND('Mapa final'!$H$45="Baja",'Mapa final'!$L$45="Menor"),CONCATENATE("R",'Mapa final'!$A$45),"")</f>
        <v/>
      </c>
      <c r="S36" s="321"/>
      <c r="T36" s="321" t="str">
        <f>IF(AND('Mapa final'!$H$51="Baja",'Mapa final'!$L$51="Menor"),CONCATENATE("R",'Mapa final'!$A$51),"")</f>
        <v/>
      </c>
      <c r="U36" s="322"/>
      <c r="V36" s="320" t="str">
        <f>IF(AND('Mapa final'!$H$39="Baja",'Mapa final'!$L$39="Moderado"),CONCATENATE("R",'Mapa final'!$A$39),"")</f>
        <v/>
      </c>
      <c r="W36" s="321"/>
      <c r="X36" s="321" t="str">
        <f>IF(AND('Mapa final'!$H$45="Baja",'Mapa final'!$L$45="Moderado"),CONCATENATE("R",'Mapa final'!$A$45),"")</f>
        <v/>
      </c>
      <c r="Y36" s="321"/>
      <c r="Z36" s="321" t="str">
        <f>IF(AND('Mapa final'!$H$51="Baja",'Mapa final'!$L$51="Moderado"),CONCATENATE("R",'Mapa final'!$A$51),"")</f>
        <v/>
      </c>
      <c r="AA36" s="322"/>
      <c r="AB36" s="304" t="str">
        <f>IF(AND('Mapa final'!$H$39="Baja",'Mapa final'!$L$39="Mayor"),CONCATENATE("R",'Mapa final'!$A$39),"")</f>
        <v/>
      </c>
      <c r="AC36" s="300"/>
      <c r="AD36" s="300" t="str">
        <f>IF(AND('Mapa final'!$H$45="Baja",'Mapa final'!$L$45="Mayor"),CONCATENATE("R",'Mapa final'!$A$45),"")</f>
        <v/>
      </c>
      <c r="AE36" s="300"/>
      <c r="AF36" s="300" t="str">
        <f>IF(AND('Mapa final'!$H$51="Baja",'Mapa final'!$L$51="Mayor"),CONCATENATE("R",'Mapa final'!$A$51),"")</f>
        <v/>
      </c>
      <c r="AG36" s="301"/>
      <c r="AH36" s="311" t="str">
        <f>IF(AND('Mapa final'!$H$39="Baja",'Mapa final'!$L$39="Catastrófico"),CONCATENATE("R",'Mapa final'!$A$39),"")</f>
        <v/>
      </c>
      <c r="AI36" s="312"/>
      <c r="AJ36" s="312" t="str">
        <f>IF(AND('Mapa final'!$H$45="Baja",'Mapa final'!$L$45="Catastrófico"),CONCATENATE("R",'Mapa final'!$A$45),"")</f>
        <v/>
      </c>
      <c r="AK36" s="312"/>
      <c r="AL36" s="312" t="str">
        <f>IF(AND('Mapa final'!$H$51="Baja",'Mapa final'!$L$51="Catastrófico"),CONCATENATE("R",'Mapa final'!$A$51),"")</f>
        <v/>
      </c>
      <c r="AM36" s="313"/>
      <c r="AN36" s="83"/>
      <c r="AO36" s="285"/>
      <c r="AP36" s="286"/>
      <c r="AQ36" s="286"/>
      <c r="AR36" s="286"/>
      <c r="AS36" s="286"/>
      <c r="AT36" s="28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53"/>
      <c r="C37" s="253"/>
      <c r="D37" s="254"/>
      <c r="E37" s="297"/>
      <c r="F37" s="298"/>
      <c r="G37" s="298"/>
      <c r="H37" s="298"/>
      <c r="I37" s="298"/>
      <c r="J37" s="332"/>
      <c r="K37" s="333"/>
      <c r="L37" s="333"/>
      <c r="M37" s="333"/>
      <c r="N37" s="333"/>
      <c r="O37" s="334"/>
      <c r="P37" s="324"/>
      <c r="Q37" s="324"/>
      <c r="R37" s="324"/>
      <c r="S37" s="324"/>
      <c r="T37" s="324"/>
      <c r="U37" s="325"/>
      <c r="V37" s="323"/>
      <c r="W37" s="324"/>
      <c r="X37" s="324"/>
      <c r="Y37" s="324"/>
      <c r="Z37" s="324"/>
      <c r="AA37" s="325"/>
      <c r="AB37" s="308"/>
      <c r="AC37" s="309"/>
      <c r="AD37" s="309"/>
      <c r="AE37" s="309"/>
      <c r="AF37" s="309"/>
      <c r="AG37" s="310"/>
      <c r="AH37" s="314"/>
      <c r="AI37" s="315"/>
      <c r="AJ37" s="315"/>
      <c r="AK37" s="315"/>
      <c r="AL37" s="315"/>
      <c r="AM37" s="316"/>
      <c r="AN37" s="83"/>
      <c r="AO37" s="288"/>
      <c r="AP37" s="289"/>
      <c r="AQ37" s="289"/>
      <c r="AR37" s="289"/>
      <c r="AS37" s="289"/>
      <c r="AT37" s="29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53"/>
      <c r="C38" s="253"/>
      <c r="D38" s="254"/>
      <c r="E38" s="291" t="s">
        <v>113</v>
      </c>
      <c r="F38" s="292"/>
      <c r="G38" s="292"/>
      <c r="H38" s="292"/>
      <c r="I38" s="293"/>
      <c r="J38" s="335" t="str">
        <f>IF(AND('Mapa final'!$H$10="Muy Baja",'Mapa final'!$L$10="Leve"),CONCATENATE("R",'Mapa final'!$A$10),"")</f>
        <v/>
      </c>
      <c r="K38" s="336"/>
      <c r="L38" s="336" t="str">
        <f>IF(AND('Mapa final'!$H$11="Muy Baja",'Mapa final'!$L$11="Leve"),CONCATENATE("R",'Mapa final'!$A$11),"")</f>
        <v/>
      </c>
      <c r="M38" s="336"/>
      <c r="N38" s="336" t="str">
        <f>IF(AND('Mapa final'!$H$12="Muy Baja",'Mapa final'!$L$12="Leve"),CONCATENATE("R",'Mapa final'!$A$12),"")</f>
        <v/>
      </c>
      <c r="O38" s="337"/>
      <c r="P38" s="335" t="str">
        <f>IF(AND('Mapa final'!$H$10="Muy Baja",'Mapa final'!$L$10="Menor"),CONCATENATE("R",'Mapa final'!$A$10),"")</f>
        <v/>
      </c>
      <c r="Q38" s="336"/>
      <c r="R38" s="336" t="str">
        <f>IF(AND('Mapa final'!$H$11="Muy Baja",'Mapa final'!$L$11="Menor"),CONCATENATE("R",'Mapa final'!$A$11),"")</f>
        <v/>
      </c>
      <c r="S38" s="336"/>
      <c r="T38" s="336" t="str">
        <f>IF(AND('Mapa final'!$H$12="Muy Baja",'Mapa final'!$L$12="Menor"),CONCATENATE("R",'Mapa final'!$A$12),"")</f>
        <v/>
      </c>
      <c r="U38" s="337"/>
      <c r="V38" s="326" t="str">
        <f>IF(AND('Mapa final'!$H$10="Muy Baja",'Mapa final'!$L$10="Moderado"),CONCATENATE("R",'Mapa final'!$A$10),"")</f>
        <v/>
      </c>
      <c r="W38" s="327"/>
      <c r="X38" s="327" t="str">
        <f>IF(AND('Mapa final'!$H$11="Muy Baja",'Mapa final'!$L$11="Moderado"),CONCATENATE("R",'Mapa final'!$A$11),"")</f>
        <v/>
      </c>
      <c r="Y38" s="327"/>
      <c r="Z38" s="327" t="str">
        <f>IF(AND('Mapa final'!$H$12="Muy Baja",'Mapa final'!$L$12="Moderado"),CONCATENATE("R",'Mapa final'!$A$12),"")</f>
        <v/>
      </c>
      <c r="AA38" s="328"/>
      <c r="AB38" s="302" t="str">
        <f>IF(AND('Mapa final'!$H$10="Muy Baja",'Mapa final'!$L$10="Mayor"),CONCATENATE("R",'Mapa final'!$A$10),"")</f>
        <v/>
      </c>
      <c r="AC38" s="303"/>
      <c r="AD38" s="303" t="str">
        <f>IF(AND('Mapa final'!$H$11="Muy Baja",'Mapa final'!$L$11="Mayor"),CONCATENATE("R",'Mapa final'!$A$11),"")</f>
        <v/>
      </c>
      <c r="AE38" s="303"/>
      <c r="AF38" s="303" t="str">
        <f>IF(AND('Mapa final'!$H$12="Muy Baja",'Mapa final'!$L$12="Mayor"),CONCATENATE("R",'Mapa final'!$A$12),"")</f>
        <v/>
      </c>
      <c r="AG38" s="305"/>
      <c r="AH38" s="317" t="str">
        <f>IF(AND('Mapa final'!$H$10="Muy Baja",'Mapa final'!$L$10="Catastrófico"),CONCATENATE("R",'Mapa final'!$A$10),"")</f>
        <v/>
      </c>
      <c r="AI38" s="318"/>
      <c r="AJ38" s="318" t="str">
        <f>IF(AND('Mapa final'!$H$11="Muy Baja",'Mapa final'!$L$11="Catastrófico"),CONCATENATE("R",'Mapa final'!$A$11),"")</f>
        <v/>
      </c>
      <c r="AK38" s="318"/>
      <c r="AL38" s="318" t="str">
        <f>IF(AND('Mapa final'!$H$12="Muy Baja",'Mapa final'!$L$12="Catastrófico"),CONCATENATE("R",'Mapa final'!$A$12),"")</f>
        <v/>
      </c>
      <c r="AM38" s="319"/>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53"/>
      <c r="C39" s="253"/>
      <c r="D39" s="254"/>
      <c r="E39" s="294"/>
      <c r="F39" s="295"/>
      <c r="G39" s="295"/>
      <c r="H39" s="295"/>
      <c r="I39" s="296"/>
      <c r="J39" s="331"/>
      <c r="K39" s="329"/>
      <c r="L39" s="329"/>
      <c r="M39" s="329"/>
      <c r="N39" s="329"/>
      <c r="O39" s="330"/>
      <c r="P39" s="331"/>
      <c r="Q39" s="329"/>
      <c r="R39" s="329"/>
      <c r="S39" s="329"/>
      <c r="T39" s="329"/>
      <c r="U39" s="330"/>
      <c r="V39" s="320"/>
      <c r="W39" s="321"/>
      <c r="X39" s="321"/>
      <c r="Y39" s="321"/>
      <c r="Z39" s="321"/>
      <c r="AA39" s="322"/>
      <c r="AB39" s="304"/>
      <c r="AC39" s="300"/>
      <c r="AD39" s="300"/>
      <c r="AE39" s="300"/>
      <c r="AF39" s="300"/>
      <c r="AG39" s="301"/>
      <c r="AH39" s="311"/>
      <c r="AI39" s="312"/>
      <c r="AJ39" s="312"/>
      <c r="AK39" s="312"/>
      <c r="AL39" s="312"/>
      <c r="AM39" s="31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53"/>
      <c r="C40" s="253"/>
      <c r="D40" s="254"/>
      <c r="E40" s="294"/>
      <c r="F40" s="295"/>
      <c r="G40" s="295"/>
      <c r="H40" s="295"/>
      <c r="I40" s="296"/>
      <c r="J40" s="331" t="str">
        <f>IF(AND('Mapa final'!$H$13="Muy Baja",'Mapa final'!$L$13="Leve"),CONCATENATE("R",'Mapa final'!$A$13),"")</f>
        <v/>
      </c>
      <c r="K40" s="329"/>
      <c r="L40" s="329" t="str">
        <f>IF(AND('Mapa final'!$H$14="Muy Baja",'Mapa final'!$L$14="Leve"),CONCATENATE("R",'Mapa final'!$A$14),"")</f>
        <v/>
      </c>
      <c r="M40" s="329"/>
      <c r="N40" s="329" t="str">
        <f>IF(AND('Mapa final'!$H$15="Muy Baja",'Mapa final'!$L$15="Leve"),CONCATENATE("R",'Mapa final'!$A$15),"")</f>
        <v/>
      </c>
      <c r="O40" s="330"/>
      <c r="P40" s="331" t="str">
        <f>IF(AND('Mapa final'!$H$13="Muy Baja",'Mapa final'!$L$13="Menor"),CONCATENATE("R",'Mapa final'!$A$13),"")</f>
        <v/>
      </c>
      <c r="Q40" s="329"/>
      <c r="R40" s="329" t="str">
        <f>IF(AND('Mapa final'!$H$14="Muy Baja",'Mapa final'!$L$14="Menor"),CONCATENATE("R",'Mapa final'!$A$14),"")</f>
        <v/>
      </c>
      <c r="S40" s="329"/>
      <c r="T40" s="329" t="str">
        <f>IF(AND('Mapa final'!$H$15="Muy Baja",'Mapa final'!$L$15="Menor"),CONCATENATE("R",'Mapa final'!$A$15),"")</f>
        <v/>
      </c>
      <c r="U40" s="330"/>
      <c r="V40" s="320" t="str">
        <f>IF(AND('Mapa final'!$H$13="Muy Baja",'Mapa final'!$L$13="Moderado"),CONCATENATE("R",'Mapa final'!$A$13),"")</f>
        <v/>
      </c>
      <c r="W40" s="321"/>
      <c r="X40" s="321" t="str">
        <f>IF(AND('Mapa final'!$H$14="Muy Baja",'Mapa final'!$L$14="Moderado"),CONCATENATE("R",'Mapa final'!$A$14),"")</f>
        <v/>
      </c>
      <c r="Y40" s="321"/>
      <c r="Z40" s="321" t="str">
        <f>IF(AND('Mapa final'!$H$15="Muy Baja",'Mapa final'!$L$15="Moderado"),CONCATENATE("R",'Mapa final'!$A$15),"")</f>
        <v/>
      </c>
      <c r="AA40" s="322"/>
      <c r="AB40" s="304" t="str">
        <f>IF(AND('Mapa final'!$H$13="Muy Baja",'Mapa final'!$L$13="Mayor"),CONCATENATE("R",'Mapa final'!$A$13),"")</f>
        <v/>
      </c>
      <c r="AC40" s="300"/>
      <c r="AD40" s="300" t="str">
        <f>IF(AND('Mapa final'!$H$14="Muy Baja",'Mapa final'!$L$14="Mayor"),CONCATENATE("R",'Mapa final'!$A$14),"")</f>
        <v/>
      </c>
      <c r="AE40" s="300"/>
      <c r="AF40" s="300" t="str">
        <f>IF(AND('Mapa final'!$H$15="Muy Baja",'Mapa final'!$L$15="Mayor"),CONCATENATE("R",'Mapa final'!$A$15),"")</f>
        <v/>
      </c>
      <c r="AG40" s="301"/>
      <c r="AH40" s="311" t="str">
        <f>IF(AND('Mapa final'!$H$13="Muy Baja",'Mapa final'!$L$13="Catastrófico"),CONCATENATE("R",'Mapa final'!$A$13),"")</f>
        <v/>
      </c>
      <c r="AI40" s="312"/>
      <c r="AJ40" s="312" t="str">
        <f>IF(AND('Mapa final'!$H$14="Muy Baja",'Mapa final'!$L$14="Catastrófico"),CONCATENATE("R",'Mapa final'!$A$14),"")</f>
        <v/>
      </c>
      <c r="AK40" s="312"/>
      <c r="AL40" s="312" t="str">
        <f>IF(AND('Mapa final'!$H$15="Muy Baja",'Mapa final'!$L$15="Catastrófico"),CONCATENATE("R",'Mapa final'!$A$15),"")</f>
        <v/>
      </c>
      <c r="AM40" s="31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53"/>
      <c r="C41" s="253"/>
      <c r="D41" s="254"/>
      <c r="E41" s="294"/>
      <c r="F41" s="295"/>
      <c r="G41" s="295"/>
      <c r="H41" s="295"/>
      <c r="I41" s="296"/>
      <c r="J41" s="331"/>
      <c r="K41" s="329"/>
      <c r="L41" s="329"/>
      <c r="M41" s="329"/>
      <c r="N41" s="329"/>
      <c r="O41" s="330"/>
      <c r="P41" s="331"/>
      <c r="Q41" s="329"/>
      <c r="R41" s="329"/>
      <c r="S41" s="329"/>
      <c r="T41" s="329"/>
      <c r="U41" s="330"/>
      <c r="V41" s="320"/>
      <c r="W41" s="321"/>
      <c r="X41" s="321"/>
      <c r="Y41" s="321"/>
      <c r="Z41" s="321"/>
      <c r="AA41" s="322"/>
      <c r="AB41" s="304"/>
      <c r="AC41" s="300"/>
      <c r="AD41" s="300"/>
      <c r="AE41" s="300"/>
      <c r="AF41" s="300"/>
      <c r="AG41" s="301"/>
      <c r="AH41" s="311"/>
      <c r="AI41" s="312"/>
      <c r="AJ41" s="312"/>
      <c r="AK41" s="312"/>
      <c r="AL41" s="312"/>
      <c r="AM41" s="31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53"/>
      <c r="C42" s="253"/>
      <c r="D42" s="254"/>
      <c r="E42" s="294"/>
      <c r="F42" s="295"/>
      <c r="G42" s="295"/>
      <c r="H42" s="295"/>
      <c r="I42" s="296"/>
      <c r="J42" s="331" t="str">
        <f>IF(AND('Mapa final'!$H$21="Muy Baja",'Mapa final'!$L$21="Leve"),CONCATENATE("R",'Mapa final'!$A$21),"")</f>
        <v/>
      </c>
      <c r="K42" s="329"/>
      <c r="L42" s="329" t="str">
        <f>IF(AND('Mapa final'!$H$27="Muy Baja",'Mapa final'!$L$27="Leve"),CONCATENATE("R",'Mapa final'!$A$27),"")</f>
        <v/>
      </c>
      <c r="M42" s="329"/>
      <c r="N42" s="329" t="str">
        <f>IF(AND('Mapa final'!$H$33="Muy Baja",'Mapa final'!$L$33="Leve"),CONCATENATE("R",'Mapa final'!$A$33),"")</f>
        <v/>
      </c>
      <c r="O42" s="330"/>
      <c r="P42" s="331" t="str">
        <f>IF(AND('Mapa final'!$H$21="Muy Baja",'Mapa final'!$L$21="Menor"),CONCATENATE("R",'Mapa final'!$A$21),"")</f>
        <v/>
      </c>
      <c r="Q42" s="329"/>
      <c r="R42" s="329" t="str">
        <f>IF(AND('Mapa final'!$H$27="Muy Baja",'Mapa final'!$L$27="Menor"),CONCATENATE("R",'Mapa final'!$A$27),"")</f>
        <v/>
      </c>
      <c r="S42" s="329"/>
      <c r="T42" s="329" t="str">
        <f>IF(AND('Mapa final'!$H$33="Muy Baja",'Mapa final'!$L$33="Menor"),CONCATENATE("R",'Mapa final'!$A$33),"")</f>
        <v/>
      </c>
      <c r="U42" s="330"/>
      <c r="V42" s="320" t="str">
        <f>IF(AND('Mapa final'!$H$21="Muy Baja",'Mapa final'!$L$21="Moderado"),CONCATENATE("R",'Mapa final'!$A$21),"")</f>
        <v/>
      </c>
      <c r="W42" s="321"/>
      <c r="X42" s="321" t="str">
        <f>IF(AND('Mapa final'!$H$27="Muy Baja",'Mapa final'!$L$27="Moderado"),CONCATENATE("R",'Mapa final'!$A$27),"")</f>
        <v/>
      </c>
      <c r="Y42" s="321"/>
      <c r="Z42" s="321" t="str">
        <f>IF(AND('Mapa final'!$H$33="Muy Baja",'Mapa final'!$L$33="Moderado"),CONCATENATE("R",'Mapa final'!$A$33),"")</f>
        <v/>
      </c>
      <c r="AA42" s="322"/>
      <c r="AB42" s="304" t="str">
        <f>IF(AND('Mapa final'!$H$21="Muy Baja",'Mapa final'!$L$21="Mayor"),CONCATENATE("R",'Mapa final'!$A$21),"")</f>
        <v/>
      </c>
      <c r="AC42" s="300"/>
      <c r="AD42" s="300" t="str">
        <f>IF(AND('Mapa final'!$H$27="Muy Baja",'Mapa final'!$L$27="Mayor"),CONCATENATE("R",'Mapa final'!$A$27),"")</f>
        <v/>
      </c>
      <c r="AE42" s="300"/>
      <c r="AF42" s="300" t="str">
        <f>IF(AND('Mapa final'!$H$33="Muy Baja",'Mapa final'!$L$33="Mayor"),CONCATENATE("R",'Mapa final'!$A$33),"")</f>
        <v/>
      </c>
      <c r="AG42" s="301"/>
      <c r="AH42" s="311" t="str">
        <f>IF(AND('Mapa final'!$H$21="Muy Baja",'Mapa final'!$L$21="Catastrófico"),CONCATENATE("R",'Mapa final'!$A$21),"")</f>
        <v/>
      </c>
      <c r="AI42" s="312"/>
      <c r="AJ42" s="312" t="str">
        <f>IF(AND('Mapa final'!$H$27="Muy Baja",'Mapa final'!$L$27="Catastrófico"),CONCATENATE("R",'Mapa final'!$A$27),"")</f>
        <v/>
      </c>
      <c r="AK42" s="312"/>
      <c r="AL42" s="312" t="str">
        <f>IF(AND('Mapa final'!$H$33="Muy Baja",'Mapa final'!$L$33="Catastrófico"),CONCATENATE("R",'Mapa final'!$A$33),"")</f>
        <v/>
      </c>
      <c r="AM42" s="31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53"/>
      <c r="C43" s="253"/>
      <c r="D43" s="254"/>
      <c r="E43" s="294"/>
      <c r="F43" s="295"/>
      <c r="G43" s="295"/>
      <c r="H43" s="295"/>
      <c r="I43" s="296"/>
      <c r="J43" s="331"/>
      <c r="K43" s="329"/>
      <c r="L43" s="329"/>
      <c r="M43" s="329"/>
      <c r="N43" s="329"/>
      <c r="O43" s="330"/>
      <c r="P43" s="331"/>
      <c r="Q43" s="329"/>
      <c r="R43" s="329"/>
      <c r="S43" s="329"/>
      <c r="T43" s="329"/>
      <c r="U43" s="330"/>
      <c r="V43" s="320"/>
      <c r="W43" s="321"/>
      <c r="X43" s="321"/>
      <c r="Y43" s="321"/>
      <c r="Z43" s="321"/>
      <c r="AA43" s="322"/>
      <c r="AB43" s="304"/>
      <c r="AC43" s="300"/>
      <c r="AD43" s="300"/>
      <c r="AE43" s="300"/>
      <c r="AF43" s="300"/>
      <c r="AG43" s="301"/>
      <c r="AH43" s="311"/>
      <c r="AI43" s="312"/>
      <c r="AJ43" s="312"/>
      <c r="AK43" s="312"/>
      <c r="AL43" s="312"/>
      <c r="AM43" s="31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53"/>
      <c r="C44" s="253"/>
      <c r="D44" s="254"/>
      <c r="E44" s="294"/>
      <c r="F44" s="295"/>
      <c r="G44" s="295"/>
      <c r="H44" s="295"/>
      <c r="I44" s="296"/>
      <c r="J44" s="331" t="str">
        <f>IF(AND('Mapa final'!$H$39="Muy Baja",'Mapa final'!$L$39="Leve"),CONCATENATE("R",'Mapa final'!$A$39),"")</f>
        <v/>
      </c>
      <c r="K44" s="329"/>
      <c r="L44" s="329" t="str">
        <f>IF(AND('Mapa final'!$H$45="Muy Baja",'Mapa final'!$L$45="Leve"),CONCATENATE("R",'Mapa final'!$A$45),"")</f>
        <v/>
      </c>
      <c r="M44" s="329"/>
      <c r="N44" s="329" t="str">
        <f>IF(AND('Mapa final'!$H$51="Muy Baja",'Mapa final'!$L$51="Leve"),CONCATENATE("R",'Mapa final'!$A$51),"")</f>
        <v/>
      </c>
      <c r="O44" s="330"/>
      <c r="P44" s="331" t="str">
        <f>IF(AND('Mapa final'!$H$39="Muy Baja",'Mapa final'!$L$39="Menor"),CONCATENATE("R",'Mapa final'!$A$39),"")</f>
        <v/>
      </c>
      <c r="Q44" s="329"/>
      <c r="R44" s="329" t="str">
        <f>IF(AND('Mapa final'!$H$45="Muy Baja",'Mapa final'!$L$45="Menor"),CONCATENATE("R",'Mapa final'!$A$45),"")</f>
        <v/>
      </c>
      <c r="S44" s="329"/>
      <c r="T44" s="329" t="str">
        <f>IF(AND('Mapa final'!$H$51="Muy Baja",'Mapa final'!$L$51="Menor"),CONCATENATE("R",'Mapa final'!$A$51),"")</f>
        <v/>
      </c>
      <c r="U44" s="330"/>
      <c r="V44" s="320" t="str">
        <f>IF(AND('Mapa final'!$H$39="Muy Baja",'Mapa final'!$L$39="Moderado"),CONCATENATE("R",'Mapa final'!$A$39),"")</f>
        <v/>
      </c>
      <c r="W44" s="321"/>
      <c r="X44" s="321" t="str">
        <f>IF(AND('Mapa final'!$H$45="Muy Baja",'Mapa final'!$L$45="Moderado"),CONCATENATE("R",'Mapa final'!$A$45),"")</f>
        <v/>
      </c>
      <c r="Y44" s="321"/>
      <c r="Z44" s="321" t="str">
        <f>IF(AND('Mapa final'!$H$51="Muy Baja",'Mapa final'!$L$51="Moderado"),CONCATENATE("R",'Mapa final'!$A$51),"")</f>
        <v/>
      </c>
      <c r="AA44" s="322"/>
      <c r="AB44" s="304" t="str">
        <f>IF(AND('Mapa final'!$H$39="Muy Baja",'Mapa final'!$L$39="Mayor"),CONCATENATE("R",'Mapa final'!$A$39),"")</f>
        <v/>
      </c>
      <c r="AC44" s="300"/>
      <c r="AD44" s="300" t="str">
        <f>IF(AND('Mapa final'!$H$45="Muy Baja",'Mapa final'!$L$45="Mayor"),CONCATENATE("R",'Mapa final'!$A$45),"")</f>
        <v/>
      </c>
      <c r="AE44" s="300"/>
      <c r="AF44" s="300" t="str">
        <f>IF(AND('Mapa final'!$H$51="Muy Baja",'Mapa final'!$L$51="Mayor"),CONCATENATE("R",'Mapa final'!$A$51),"")</f>
        <v/>
      </c>
      <c r="AG44" s="301"/>
      <c r="AH44" s="311" t="str">
        <f>IF(AND('Mapa final'!$H$39="Muy Baja",'Mapa final'!$L$39="Catastrófico"),CONCATENATE("R",'Mapa final'!$A$39),"")</f>
        <v/>
      </c>
      <c r="AI44" s="312"/>
      <c r="AJ44" s="312" t="str">
        <f>IF(AND('Mapa final'!$H$45="Muy Baja",'Mapa final'!$L$45="Catastrófico"),CONCATENATE("R",'Mapa final'!$A$45),"")</f>
        <v/>
      </c>
      <c r="AK44" s="312"/>
      <c r="AL44" s="312" t="str">
        <f>IF(AND('Mapa final'!$H$51="Muy Baja",'Mapa final'!$L$51="Catastrófico"),CONCATENATE("R",'Mapa final'!$A$51),"")</f>
        <v/>
      </c>
      <c r="AM44" s="31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53"/>
      <c r="C45" s="253"/>
      <c r="D45" s="254"/>
      <c r="E45" s="297"/>
      <c r="F45" s="298"/>
      <c r="G45" s="298"/>
      <c r="H45" s="298"/>
      <c r="I45" s="299"/>
      <c r="J45" s="332"/>
      <c r="K45" s="333"/>
      <c r="L45" s="333"/>
      <c r="M45" s="333"/>
      <c r="N45" s="333"/>
      <c r="O45" s="334"/>
      <c r="P45" s="332"/>
      <c r="Q45" s="333"/>
      <c r="R45" s="333"/>
      <c r="S45" s="333"/>
      <c r="T45" s="333"/>
      <c r="U45" s="334"/>
      <c r="V45" s="323"/>
      <c r="W45" s="324"/>
      <c r="X45" s="324"/>
      <c r="Y45" s="324"/>
      <c r="Z45" s="324"/>
      <c r="AA45" s="325"/>
      <c r="AB45" s="308"/>
      <c r="AC45" s="309"/>
      <c r="AD45" s="309"/>
      <c r="AE45" s="309"/>
      <c r="AF45" s="309"/>
      <c r="AG45" s="310"/>
      <c r="AH45" s="314"/>
      <c r="AI45" s="315"/>
      <c r="AJ45" s="315"/>
      <c r="AK45" s="315"/>
      <c r="AL45" s="315"/>
      <c r="AM45" s="316"/>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91" t="s">
        <v>112</v>
      </c>
      <c r="K46" s="292"/>
      <c r="L46" s="292"/>
      <c r="M46" s="292"/>
      <c r="N46" s="292"/>
      <c r="O46" s="293"/>
      <c r="P46" s="291" t="s">
        <v>111</v>
      </c>
      <c r="Q46" s="292"/>
      <c r="R46" s="292"/>
      <c r="S46" s="292"/>
      <c r="T46" s="292"/>
      <c r="U46" s="293"/>
      <c r="V46" s="291" t="s">
        <v>110</v>
      </c>
      <c r="W46" s="292"/>
      <c r="X46" s="292"/>
      <c r="Y46" s="292"/>
      <c r="Z46" s="292"/>
      <c r="AA46" s="293"/>
      <c r="AB46" s="291" t="s">
        <v>109</v>
      </c>
      <c r="AC46" s="307"/>
      <c r="AD46" s="292"/>
      <c r="AE46" s="292"/>
      <c r="AF46" s="292"/>
      <c r="AG46" s="293"/>
      <c r="AH46" s="291" t="s">
        <v>108</v>
      </c>
      <c r="AI46" s="292"/>
      <c r="AJ46" s="292"/>
      <c r="AK46" s="292"/>
      <c r="AL46" s="292"/>
      <c r="AM46" s="29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94"/>
      <c r="K47" s="295"/>
      <c r="L47" s="295"/>
      <c r="M47" s="295"/>
      <c r="N47" s="295"/>
      <c r="O47" s="296"/>
      <c r="P47" s="294"/>
      <c r="Q47" s="295"/>
      <c r="R47" s="295"/>
      <c r="S47" s="295"/>
      <c r="T47" s="295"/>
      <c r="U47" s="296"/>
      <c r="V47" s="294"/>
      <c r="W47" s="295"/>
      <c r="X47" s="295"/>
      <c r="Y47" s="295"/>
      <c r="Z47" s="295"/>
      <c r="AA47" s="296"/>
      <c r="AB47" s="294"/>
      <c r="AC47" s="295"/>
      <c r="AD47" s="295"/>
      <c r="AE47" s="295"/>
      <c r="AF47" s="295"/>
      <c r="AG47" s="296"/>
      <c r="AH47" s="294"/>
      <c r="AI47" s="295"/>
      <c r="AJ47" s="295"/>
      <c r="AK47" s="295"/>
      <c r="AL47" s="295"/>
      <c r="AM47" s="296"/>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94"/>
      <c r="K48" s="295"/>
      <c r="L48" s="295"/>
      <c r="M48" s="295"/>
      <c r="N48" s="295"/>
      <c r="O48" s="296"/>
      <c r="P48" s="294"/>
      <c r="Q48" s="295"/>
      <c r="R48" s="295"/>
      <c r="S48" s="295"/>
      <c r="T48" s="295"/>
      <c r="U48" s="296"/>
      <c r="V48" s="294"/>
      <c r="W48" s="295"/>
      <c r="X48" s="295"/>
      <c r="Y48" s="295"/>
      <c r="Z48" s="295"/>
      <c r="AA48" s="296"/>
      <c r="AB48" s="294"/>
      <c r="AC48" s="295"/>
      <c r="AD48" s="295"/>
      <c r="AE48" s="295"/>
      <c r="AF48" s="295"/>
      <c r="AG48" s="296"/>
      <c r="AH48" s="294"/>
      <c r="AI48" s="295"/>
      <c r="AJ48" s="295"/>
      <c r="AK48" s="295"/>
      <c r="AL48" s="295"/>
      <c r="AM48" s="296"/>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94"/>
      <c r="K49" s="295"/>
      <c r="L49" s="295"/>
      <c r="M49" s="295"/>
      <c r="N49" s="295"/>
      <c r="O49" s="296"/>
      <c r="P49" s="294"/>
      <c r="Q49" s="295"/>
      <c r="R49" s="295"/>
      <c r="S49" s="295"/>
      <c r="T49" s="295"/>
      <c r="U49" s="296"/>
      <c r="V49" s="294"/>
      <c r="W49" s="295"/>
      <c r="X49" s="295"/>
      <c r="Y49" s="295"/>
      <c r="Z49" s="295"/>
      <c r="AA49" s="296"/>
      <c r="AB49" s="294"/>
      <c r="AC49" s="295"/>
      <c r="AD49" s="295"/>
      <c r="AE49" s="295"/>
      <c r="AF49" s="295"/>
      <c r="AG49" s="296"/>
      <c r="AH49" s="294"/>
      <c r="AI49" s="295"/>
      <c r="AJ49" s="295"/>
      <c r="AK49" s="295"/>
      <c r="AL49" s="295"/>
      <c r="AM49" s="296"/>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94"/>
      <c r="K50" s="295"/>
      <c r="L50" s="295"/>
      <c r="M50" s="295"/>
      <c r="N50" s="295"/>
      <c r="O50" s="296"/>
      <c r="P50" s="294"/>
      <c r="Q50" s="295"/>
      <c r="R50" s="295"/>
      <c r="S50" s="295"/>
      <c r="T50" s="295"/>
      <c r="U50" s="296"/>
      <c r="V50" s="294"/>
      <c r="W50" s="295"/>
      <c r="X50" s="295"/>
      <c r="Y50" s="295"/>
      <c r="Z50" s="295"/>
      <c r="AA50" s="296"/>
      <c r="AB50" s="294"/>
      <c r="AC50" s="295"/>
      <c r="AD50" s="295"/>
      <c r="AE50" s="295"/>
      <c r="AF50" s="295"/>
      <c r="AG50" s="296"/>
      <c r="AH50" s="294"/>
      <c r="AI50" s="295"/>
      <c r="AJ50" s="295"/>
      <c r="AK50" s="295"/>
      <c r="AL50" s="295"/>
      <c r="AM50" s="296"/>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7"/>
      <c r="K51" s="298"/>
      <c r="L51" s="298"/>
      <c r="M51" s="298"/>
      <c r="N51" s="298"/>
      <c r="O51" s="299"/>
      <c r="P51" s="297"/>
      <c r="Q51" s="298"/>
      <c r="R51" s="298"/>
      <c r="S51" s="298"/>
      <c r="T51" s="298"/>
      <c r="U51" s="299"/>
      <c r="V51" s="297"/>
      <c r="W51" s="298"/>
      <c r="X51" s="298"/>
      <c r="Y51" s="298"/>
      <c r="Z51" s="298"/>
      <c r="AA51" s="299"/>
      <c r="AB51" s="297"/>
      <c r="AC51" s="298"/>
      <c r="AD51" s="298"/>
      <c r="AE51" s="298"/>
      <c r="AF51" s="298"/>
      <c r="AG51" s="299"/>
      <c r="AH51" s="297"/>
      <c r="AI51" s="298"/>
      <c r="AJ51" s="298"/>
      <c r="AK51" s="298"/>
      <c r="AL51" s="298"/>
      <c r="AM51" s="299"/>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64" t="s">
        <v>160</v>
      </c>
      <c r="C2" s="365"/>
      <c r="D2" s="365"/>
      <c r="E2" s="365"/>
      <c r="F2" s="365"/>
      <c r="G2" s="365"/>
      <c r="H2" s="365"/>
      <c r="I2" s="365"/>
      <c r="J2" s="306" t="s">
        <v>2</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5"/>
      <c r="C3" s="365"/>
      <c r="D3" s="365"/>
      <c r="E3" s="365"/>
      <c r="F3" s="365"/>
      <c r="G3" s="365"/>
      <c r="H3" s="365"/>
      <c r="I3" s="365"/>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5"/>
      <c r="C4" s="365"/>
      <c r="D4" s="365"/>
      <c r="E4" s="365"/>
      <c r="F4" s="365"/>
      <c r="G4" s="365"/>
      <c r="H4" s="365"/>
      <c r="I4" s="365"/>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53" t="s">
        <v>4</v>
      </c>
      <c r="C6" s="253"/>
      <c r="D6" s="254"/>
      <c r="E6" s="348" t="s">
        <v>116</v>
      </c>
      <c r="F6" s="349"/>
      <c r="G6" s="349"/>
      <c r="H6" s="349"/>
      <c r="I6" s="366"/>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5" t="s">
        <v>79</v>
      </c>
      <c r="AP6" s="356"/>
      <c r="AQ6" s="356"/>
      <c r="AR6" s="356"/>
      <c r="AS6" s="356"/>
      <c r="AT6" s="35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53"/>
      <c r="C7" s="253"/>
      <c r="D7" s="254"/>
      <c r="E7" s="352"/>
      <c r="F7" s="351"/>
      <c r="G7" s="351"/>
      <c r="H7" s="351"/>
      <c r="I7" s="367"/>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58"/>
      <c r="AP7" s="359"/>
      <c r="AQ7" s="359"/>
      <c r="AR7" s="359"/>
      <c r="AS7" s="359"/>
      <c r="AT7" s="36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53"/>
      <c r="C8" s="253"/>
      <c r="D8" s="254"/>
      <c r="E8" s="352"/>
      <c r="F8" s="351"/>
      <c r="G8" s="351"/>
      <c r="H8" s="351"/>
      <c r="I8" s="367"/>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58"/>
      <c r="AP8" s="359"/>
      <c r="AQ8" s="359"/>
      <c r="AR8" s="359"/>
      <c r="AS8" s="359"/>
      <c r="AT8" s="36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53"/>
      <c r="C9" s="253"/>
      <c r="D9" s="254"/>
      <c r="E9" s="352"/>
      <c r="F9" s="351"/>
      <c r="G9" s="351"/>
      <c r="H9" s="351"/>
      <c r="I9" s="367"/>
      <c r="J9" s="52" t="str">
        <f>IF(AND('Mapa final'!$Y$13="Muy Alta",'Mapa final'!$AA$13="Leve"),CONCATENATE("R4C",'Mapa final'!$O$13),"")</f>
        <v/>
      </c>
      <c r="K9" s="53" t="e">
        <f>IF(AND('Mapa final'!#REF!="Muy Alta",'Mapa final'!#REF!="Leve"),CONCATENATE("R4C",'Mapa final'!#REF!),"")</f>
        <v>#REF!</v>
      </c>
      <c r="L9" s="53" t="e">
        <f>IF(AND('Mapa final'!#REF!="Muy Alta",'Mapa final'!#REF!="Leve"),CONCATENATE("R4C",'Mapa final'!#REF!),"")</f>
        <v>#REF!</v>
      </c>
      <c r="M9" s="53" t="e">
        <f>IF(AND('Mapa final'!#REF!="Muy Alta",'Mapa final'!#REF!="Leve"),CONCATENATE("R4C",'Mapa final'!#REF!),"")</f>
        <v>#REF!</v>
      </c>
      <c r="N9" s="53" t="e">
        <f>IF(AND('Mapa final'!#REF!="Muy Alta",'Mapa final'!#REF!="Leve"),CONCATENATE("R4C",'Mapa final'!#REF!),"")</f>
        <v>#REF!</v>
      </c>
      <c r="O9" s="54" t="e">
        <f>IF(AND('Mapa final'!#REF!="Muy Alta",'Mapa final'!#REF!="Leve"),CONCATENATE("R4C",'Mapa final'!#REF!),"")</f>
        <v>#REF!</v>
      </c>
      <c r="P9" s="52" t="str">
        <f>IF(AND('Mapa final'!$Y$13="Muy Alta",'Mapa final'!$AA$13="Menor"),CONCATENATE("R4C",'Mapa final'!$O$13),"")</f>
        <v/>
      </c>
      <c r="Q9" s="53" t="e">
        <f>IF(AND('Mapa final'!#REF!="Muy Alta",'Mapa final'!#REF!="Menor"),CONCATENATE("R4C",'Mapa final'!#REF!),"")</f>
        <v>#REF!</v>
      </c>
      <c r="R9" s="53" t="e">
        <f>IF(AND('Mapa final'!#REF!="Muy Alta",'Mapa final'!#REF!="Menor"),CONCATENATE("R4C",'Mapa final'!#REF!),"")</f>
        <v>#REF!</v>
      </c>
      <c r="S9" s="53" t="e">
        <f>IF(AND('Mapa final'!#REF!="Muy Alta",'Mapa final'!#REF!="Menor"),CONCATENATE("R4C",'Mapa final'!#REF!),"")</f>
        <v>#REF!</v>
      </c>
      <c r="T9" s="53" t="e">
        <f>IF(AND('Mapa final'!#REF!="Muy Alta",'Mapa final'!#REF!="Menor"),CONCATENATE("R4C",'Mapa final'!#REF!),"")</f>
        <v>#REF!</v>
      </c>
      <c r="U9" s="54" t="e">
        <f>IF(AND('Mapa final'!#REF!="Muy Alta",'Mapa final'!#REF!="Menor"),CONCATENATE("R4C",'Mapa final'!#REF!),"")</f>
        <v>#REF!</v>
      </c>
      <c r="V9" s="52" t="str">
        <f>IF(AND('Mapa final'!$Y$13="Muy Alta",'Mapa final'!$AA$13="Moderado"),CONCATENATE("R4C",'Mapa final'!$O$13),"")</f>
        <v/>
      </c>
      <c r="W9" s="53" t="e">
        <f>IF(AND('Mapa final'!#REF!="Muy Alta",'Mapa final'!#REF!="Moderado"),CONCATENATE("R4C",'Mapa final'!#REF!),"")</f>
        <v>#REF!</v>
      </c>
      <c r="X9" s="53" t="e">
        <f>IF(AND('Mapa final'!#REF!="Muy Alta",'Mapa final'!#REF!="Moderado"),CONCATENATE("R4C",'Mapa final'!#REF!),"")</f>
        <v>#REF!</v>
      </c>
      <c r="Y9" s="53" t="e">
        <f>IF(AND('Mapa final'!#REF!="Muy Alta",'Mapa final'!#REF!="Moderado"),CONCATENATE("R4C",'Mapa final'!#REF!),"")</f>
        <v>#REF!</v>
      </c>
      <c r="Z9" s="53" t="e">
        <f>IF(AND('Mapa final'!#REF!="Muy Alta",'Mapa final'!#REF!="Moderado"),CONCATENATE("R4C",'Mapa final'!#REF!),"")</f>
        <v>#REF!</v>
      </c>
      <c r="AA9" s="54" t="e">
        <f>IF(AND('Mapa final'!#REF!="Muy Alta",'Mapa final'!#REF!="Moderado"),CONCATENATE("R4C",'Mapa final'!#REF!),"")</f>
        <v>#REF!</v>
      </c>
      <c r="AB9" s="52" t="str">
        <f>IF(AND('Mapa final'!$Y$13="Muy Alta",'Mapa final'!$AA$13="Mayor"),CONCATENATE("R4C",'Mapa final'!$O$13),"")</f>
        <v/>
      </c>
      <c r="AC9" s="53" t="e">
        <f>IF(AND('Mapa final'!#REF!="Muy Alta",'Mapa final'!#REF!="Mayor"),CONCATENATE("R4C",'Mapa final'!#REF!),"")</f>
        <v>#REF!</v>
      </c>
      <c r="AD9" s="53" t="e">
        <f>IF(AND('Mapa final'!#REF!="Muy Alta",'Mapa final'!#REF!="Mayor"),CONCATENATE("R4C",'Mapa final'!#REF!),"")</f>
        <v>#REF!</v>
      </c>
      <c r="AE9" s="53" t="e">
        <f>IF(AND('Mapa final'!#REF!="Muy Alta",'Mapa final'!#REF!="Mayor"),CONCATENATE("R4C",'Mapa final'!#REF!),"")</f>
        <v>#REF!</v>
      </c>
      <c r="AF9" s="53" t="e">
        <f>IF(AND('Mapa final'!#REF!="Muy Alta",'Mapa final'!#REF!="Mayor"),CONCATENATE("R4C",'Mapa final'!#REF!),"")</f>
        <v>#REF!</v>
      </c>
      <c r="AG9" s="54" t="e">
        <f>IF(AND('Mapa final'!#REF!="Muy Alta",'Mapa final'!#REF!="Mayor"),CONCATENATE("R4C",'Mapa final'!#REF!),"")</f>
        <v>#REF!</v>
      </c>
      <c r="AH9" s="55" t="str">
        <f>IF(AND('Mapa final'!$Y$13="Muy Alta",'Mapa final'!$AA$13="Catastrófico"),CONCATENATE("R4C",'Mapa final'!$O$13),"")</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3"/>
      <c r="AO9" s="358"/>
      <c r="AP9" s="359"/>
      <c r="AQ9" s="359"/>
      <c r="AR9" s="359"/>
      <c r="AS9" s="359"/>
      <c r="AT9" s="36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53"/>
      <c r="C10" s="253"/>
      <c r="D10" s="254"/>
      <c r="E10" s="352"/>
      <c r="F10" s="351"/>
      <c r="G10" s="351"/>
      <c r="H10" s="351"/>
      <c r="I10" s="367"/>
      <c r="J10" s="52" t="str">
        <f>IF(AND('Mapa final'!$Y$14="Muy Alta",'Mapa final'!$AA$14="Leve"),CONCATENATE("R5C",'Mapa final'!$O$14),"")</f>
        <v/>
      </c>
      <c r="K10" s="53" t="e">
        <f>IF(AND('Mapa final'!#REF!="Muy Alta",'Mapa final'!#REF!="Leve"),CONCATENATE("R5C",'Mapa final'!#REF!),"")</f>
        <v>#REF!</v>
      </c>
      <c r="L10" s="53" t="e">
        <f>IF(AND('Mapa final'!#REF!="Muy Alta",'Mapa final'!#REF!="Leve"),CONCATENATE("R5C",'Mapa final'!#REF!),"")</f>
        <v>#REF!</v>
      </c>
      <c r="M10" s="53" t="e">
        <f>IF(AND('Mapa final'!#REF!="Muy Alta",'Mapa final'!#REF!="Leve"),CONCATENATE("R5C",'Mapa final'!#REF!),"")</f>
        <v>#REF!</v>
      </c>
      <c r="N10" s="53" t="e">
        <f>IF(AND('Mapa final'!#REF!="Muy Alta",'Mapa final'!#REF!="Leve"),CONCATENATE("R5C",'Mapa final'!#REF!),"")</f>
        <v>#REF!</v>
      </c>
      <c r="O10" s="54" t="e">
        <f>IF(AND('Mapa final'!#REF!="Muy Alta",'Mapa final'!#REF!="Leve"),CONCATENATE("R5C",'Mapa final'!#REF!),"")</f>
        <v>#REF!</v>
      </c>
      <c r="P10" s="52" t="str">
        <f>IF(AND('Mapa final'!$Y$14="Muy Alta",'Mapa final'!$AA$14="Menor"),CONCATENATE("R5C",'Mapa final'!$O$14),"")</f>
        <v/>
      </c>
      <c r="Q10" s="53" t="e">
        <f>IF(AND('Mapa final'!#REF!="Muy Alta",'Mapa final'!#REF!="Menor"),CONCATENATE("R5C",'Mapa final'!#REF!),"")</f>
        <v>#REF!</v>
      </c>
      <c r="R10" s="53" t="e">
        <f>IF(AND('Mapa final'!#REF!="Muy Alta",'Mapa final'!#REF!="Menor"),CONCATENATE("R5C",'Mapa final'!#REF!),"")</f>
        <v>#REF!</v>
      </c>
      <c r="S10" s="53" t="e">
        <f>IF(AND('Mapa final'!#REF!="Muy Alta",'Mapa final'!#REF!="Menor"),CONCATENATE("R5C",'Mapa final'!#REF!),"")</f>
        <v>#REF!</v>
      </c>
      <c r="T10" s="53" t="e">
        <f>IF(AND('Mapa final'!#REF!="Muy Alta",'Mapa final'!#REF!="Menor"),CONCATENATE("R5C",'Mapa final'!#REF!),"")</f>
        <v>#REF!</v>
      </c>
      <c r="U10" s="54" t="e">
        <f>IF(AND('Mapa final'!#REF!="Muy Alta",'Mapa final'!#REF!="Menor"),CONCATENATE("R5C",'Mapa final'!#REF!),"")</f>
        <v>#REF!</v>
      </c>
      <c r="V10" s="52" t="str">
        <f>IF(AND('Mapa final'!$Y$14="Muy Alta",'Mapa final'!$AA$14="Moderado"),CONCATENATE("R5C",'Mapa final'!$O$14),"")</f>
        <v/>
      </c>
      <c r="W10" s="53" t="e">
        <f>IF(AND('Mapa final'!#REF!="Muy Alta",'Mapa final'!#REF!="Moderado"),CONCATENATE("R5C",'Mapa final'!#REF!),"")</f>
        <v>#REF!</v>
      </c>
      <c r="X10" s="53" t="e">
        <f>IF(AND('Mapa final'!#REF!="Muy Alta",'Mapa final'!#REF!="Moderado"),CONCATENATE("R5C",'Mapa final'!#REF!),"")</f>
        <v>#REF!</v>
      </c>
      <c r="Y10" s="53" t="e">
        <f>IF(AND('Mapa final'!#REF!="Muy Alta",'Mapa final'!#REF!="Moderado"),CONCATENATE("R5C",'Mapa final'!#REF!),"")</f>
        <v>#REF!</v>
      </c>
      <c r="Z10" s="53" t="e">
        <f>IF(AND('Mapa final'!#REF!="Muy Alta",'Mapa final'!#REF!="Moderado"),CONCATENATE("R5C",'Mapa final'!#REF!),"")</f>
        <v>#REF!</v>
      </c>
      <c r="AA10" s="54" t="e">
        <f>IF(AND('Mapa final'!#REF!="Muy Alta",'Mapa final'!#REF!="Moderado"),CONCATENATE("R5C",'Mapa final'!#REF!),"")</f>
        <v>#REF!</v>
      </c>
      <c r="AB10" s="52" t="str">
        <f>IF(AND('Mapa final'!$Y$14="Muy Alta",'Mapa final'!$AA$14="Mayor"),CONCATENATE("R5C",'Mapa final'!$O$14),"")</f>
        <v/>
      </c>
      <c r="AC10" s="53" t="e">
        <f>IF(AND('Mapa final'!#REF!="Muy Alta",'Mapa final'!#REF!="Mayor"),CONCATENATE("R5C",'Mapa final'!#REF!),"")</f>
        <v>#REF!</v>
      </c>
      <c r="AD10" s="53" t="e">
        <f>IF(AND('Mapa final'!#REF!="Muy Alta",'Mapa final'!#REF!="Mayor"),CONCATENATE("R5C",'Mapa final'!#REF!),"")</f>
        <v>#REF!</v>
      </c>
      <c r="AE10" s="53" t="e">
        <f>IF(AND('Mapa final'!#REF!="Muy Alta",'Mapa final'!#REF!="Mayor"),CONCATENATE("R5C",'Mapa final'!#REF!),"")</f>
        <v>#REF!</v>
      </c>
      <c r="AF10" s="53" t="e">
        <f>IF(AND('Mapa final'!#REF!="Muy Alta",'Mapa final'!#REF!="Mayor"),CONCATENATE("R5C",'Mapa final'!#REF!),"")</f>
        <v>#REF!</v>
      </c>
      <c r="AG10" s="54" t="e">
        <f>IF(AND('Mapa final'!#REF!="Muy Alta",'Mapa final'!#REF!="Mayor"),CONCATENATE("R5C",'Mapa final'!#REF!),"")</f>
        <v>#REF!</v>
      </c>
      <c r="AH10" s="55" t="str">
        <f>IF(AND('Mapa final'!$Y$14="Muy Alta",'Mapa final'!$AA$14="Catastrófico"),CONCATENATE("R5C",'Mapa final'!$O$14),"")</f>
        <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3"/>
      <c r="AO10" s="358"/>
      <c r="AP10" s="359"/>
      <c r="AQ10" s="359"/>
      <c r="AR10" s="359"/>
      <c r="AS10" s="359"/>
      <c r="AT10" s="36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53"/>
      <c r="C11" s="253"/>
      <c r="D11" s="254"/>
      <c r="E11" s="352"/>
      <c r="F11" s="351"/>
      <c r="G11" s="351"/>
      <c r="H11" s="351"/>
      <c r="I11" s="367"/>
      <c r="J11" s="52" t="str">
        <f>IF(AND('Mapa final'!$Y$15="Muy Alta",'Mapa final'!$AA$15="Leve"),CONCATENATE("R6C",'Mapa final'!$O$15),"")</f>
        <v/>
      </c>
      <c r="K11" s="53" t="str">
        <f>IF(AND('Mapa final'!$Y$16="Muy Alta",'Mapa final'!$AA$16="Leve"),CONCATENATE("R6C",'Mapa final'!$O$16),"")</f>
        <v/>
      </c>
      <c r="L11" s="53" t="str">
        <f>IF(AND('Mapa final'!$Y$17="Muy Alta",'Mapa final'!$AA$17="Leve"),CONCATENATE("R6C",'Mapa final'!$O$17),"")</f>
        <v/>
      </c>
      <c r="M11" s="53" t="str">
        <f>IF(AND('Mapa final'!$Y$18="Muy Alta",'Mapa final'!$AA$18="Leve"),CONCATENATE("R6C",'Mapa final'!$O$18),"")</f>
        <v/>
      </c>
      <c r="N11" s="53" t="str">
        <f>IF(AND('Mapa final'!$Y$19="Muy Alta",'Mapa final'!$AA$19="Leve"),CONCATENATE("R6C",'Mapa final'!$O$19),"")</f>
        <v/>
      </c>
      <c r="O11" s="54" t="str">
        <f>IF(AND('Mapa final'!$Y$20="Muy Alta",'Mapa final'!$AA$20="Leve"),CONCATENATE("R6C",'Mapa final'!$O$20),"")</f>
        <v/>
      </c>
      <c r="P11" s="52" t="str">
        <f>IF(AND('Mapa final'!$Y$15="Muy Alta",'Mapa final'!$AA$15="Menor"),CONCATENATE("R6C",'Mapa final'!$O$15),"")</f>
        <v/>
      </c>
      <c r="Q11" s="53" t="str">
        <f>IF(AND('Mapa final'!$Y$16="Muy Alta",'Mapa final'!$AA$16="Menor"),CONCATENATE("R6C",'Mapa final'!$O$16),"")</f>
        <v/>
      </c>
      <c r="R11" s="53" t="str">
        <f>IF(AND('Mapa final'!$Y$17="Muy Alta",'Mapa final'!$AA$17="Menor"),CONCATENATE("R6C",'Mapa final'!$O$17),"")</f>
        <v/>
      </c>
      <c r="S11" s="53" t="str">
        <f>IF(AND('Mapa final'!$Y$18="Muy Alta",'Mapa final'!$AA$18="Menor"),CONCATENATE("R6C",'Mapa final'!$O$18),"")</f>
        <v/>
      </c>
      <c r="T11" s="53" t="str">
        <f>IF(AND('Mapa final'!$Y$19="Muy Alta",'Mapa final'!$AA$19="Menor"),CONCATENATE("R6C",'Mapa final'!$O$19),"")</f>
        <v/>
      </c>
      <c r="U11" s="54" t="str">
        <f>IF(AND('Mapa final'!$Y$20="Muy Alta",'Mapa final'!$AA$20="Menor"),CONCATENATE("R6C",'Mapa final'!$O$20),"")</f>
        <v/>
      </c>
      <c r="V11" s="52" t="str">
        <f>IF(AND('Mapa final'!$Y$15="Muy Alta",'Mapa final'!$AA$15="Moderado"),CONCATENATE("R6C",'Mapa final'!$O$15),"")</f>
        <v/>
      </c>
      <c r="W11" s="53" t="str">
        <f>IF(AND('Mapa final'!$Y$16="Muy Alta",'Mapa final'!$AA$16="Moderado"),CONCATENATE("R6C",'Mapa final'!$O$16),"")</f>
        <v/>
      </c>
      <c r="X11" s="53" t="str">
        <f>IF(AND('Mapa final'!$Y$17="Muy Alta",'Mapa final'!$AA$17="Moderado"),CONCATENATE("R6C",'Mapa final'!$O$17),"")</f>
        <v/>
      </c>
      <c r="Y11" s="53" t="str">
        <f>IF(AND('Mapa final'!$Y$18="Muy Alta",'Mapa final'!$AA$18="Moderado"),CONCATENATE("R6C",'Mapa final'!$O$18),"")</f>
        <v/>
      </c>
      <c r="Z11" s="53" t="str">
        <f>IF(AND('Mapa final'!$Y$19="Muy Alta",'Mapa final'!$AA$19="Moderado"),CONCATENATE("R6C",'Mapa final'!$O$19),"")</f>
        <v/>
      </c>
      <c r="AA11" s="54" t="str">
        <f>IF(AND('Mapa final'!$Y$20="Muy Alta",'Mapa final'!$AA$20="Moderado"),CONCATENATE("R6C",'Mapa final'!$O$20),"")</f>
        <v/>
      </c>
      <c r="AB11" s="52" t="str">
        <f>IF(AND('Mapa final'!$Y$15="Muy Alta",'Mapa final'!$AA$15="Mayor"),CONCATENATE("R6C",'Mapa final'!$O$15),"")</f>
        <v/>
      </c>
      <c r="AC11" s="53" t="str">
        <f>IF(AND('Mapa final'!$Y$16="Muy Alta",'Mapa final'!$AA$16="Mayor"),CONCATENATE("R6C",'Mapa final'!$O$16),"")</f>
        <v/>
      </c>
      <c r="AD11" s="53" t="str">
        <f>IF(AND('Mapa final'!$Y$17="Muy Alta",'Mapa final'!$AA$17="Mayor"),CONCATENATE("R6C",'Mapa final'!$O$17),"")</f>
        <v/>
      </c>
      <c r="AE11" s="53" t="str">
        <f>IF(AND('Mapa final'!$Y$18="Muy Alta",'Mapa final'!$AA$18="Mayor"),CONCATENATE("R6C",'Mapa final'!$O$18),"")</f>
        <v/>
      </c>
      <c r="AF11" s="53" t="str">
        <f>IF(AND('Mapa final'!$Y$19="Muy Alta",'Mapa final'!$AA$19="Mayor"),CONCATENATE("R6C",'Mapa final'!$O$19),"")</f>
        <v/>
      </c>
      <c r="AG11" s="54" t="str">
        <f>IF(AND('Mapa final'!$Y$20="Muy Alta",'Mapa final'!$AA$20="Mayor"),CONCATENATE("R6C",'Mapa final'!$O$20),"")</f>
        <v/>
      </c>
      <c r="AH11" s="55" t="str">
        <f>IF(AND('Mapa final'!$Y$15="Muy Alta",'Mapa final'!$AA$15="Catastrófico"),CONCATENATE("R6C",'Mapa final'!$O$15),"")</f>
        <v/>
      </c>
      <c r="AI11" s="56" t="str">
        <f>IF(AND('Mapa final'!$Y$16="Muy Alta",'Mapa final'!$AA$16="Catastrófico"),CONCATENATE("R6C",'Mapa final'!$O$16),"")</f>
        <v/>
      </c>
      <c r="AJ11" s="56" t="str">
        <f>IF(AND('Mapa final'!$Y$17="Muy Alta",'Mapa final'!$AA$17="Catastrófico"),CONCATENATE("R6C",'Mapa final'!$O$17),"")</f>
        <v/>
      </c>
      <c r="AK11" s="56" t="str">
        <f>IF(AND('Mapa final'!$Y$18="Muy Alta",'Mapa final'!$AA$18="Catastrófico"),CONCATENATE("R6C",'Mapa final'!$O$18),"")</f>
        <v/>
      </c>
      <c r="AL11" s="56" t="str">
        <f>IF(AND('Mapa final'!$Y$19="Muy Alta",'Mapa final'!$AA$19="Catastrófico"),CONCATENATE("R6C",'Mapa final'!$O$19),"")</f>
        <v/>
      </c>
      <c r="AM11" s="57" t="str">
        <f>IF(AND('Mapa final'!$Y$20="Muy Alta",'Mapa final'!$AA$20="Catastrófico"),CONCATENATE("R6C",'Mapa final'!$O$20),"")</f>
        <v/>
      </c>
      <c r="AN11" s="83"/>
      <c r="AO11" s="358"/>
      <c r="AP11" s="359"/>
      <c r="AQ11" s="359"/>
      <c r="AR11" s="359"/>
      <c r="AS11" s="359"/>
      <c r="AT11" s="36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53"/>
      <c r="C12" s="253"/>
      <c r="D12" s="254"/>
      <c r="E12" s="352"/>
      <c r="F12" s="351"/>
      <c r="G12" s="351"/>
      <c r="H12" s="351"/>
      <c r="I12" s="367"/>
      <c r="J12" s="52" t="str">
        <f>IF(AND('Mapa final'!$Y$21="Muy Alta",'Mapa final'!$AA$21="Leve"),CONCATENATE("R7C",'Mapa final'!$O$21),"")</f>
        <v/>
      </c>
      <c r="K12" s="53" t="str">
        <f>IF(AND('Mapa final'!$Y$22="Muy Alta",'Mapa final'!$AA$22="Leve"),CONCATENATE("R7C",'Mapa final'!$O$22),"")</f>
        <v/>
      </c>
      <c r="L12" s="53" t="str">
        <f>IF(AND('Mapa final'!$Y$23="Muy Alta",'Mapa final'!$AA$23="Leve"),CONCATENATE("R7C",'Mapa final'!$O$23),"")</f>
        <v/>
      </c>
      <c r="M12" s="53" t="str">
        <f>IF(AND('Mapa final'!$Y$24="Muy Alta",'Mapa final'!$AA$24="Leve"),CONCATENATE("R7C",'Mapa final'!$O$24),"")</f>
        <v/>
      </c>
      <c r="N12" s="53" t="str">
        <f>IF(AND('Mapa final'!$Y$25="Muy Alta",'Mapa final'!$AA$25="Leve"),CONCATENATE("R7C",'Mapa final'!$O$25),"")</f>
        <v/>
      </c>
      <c r="O12" s="54" t="str">
        <f>IF(AND('Mapa final'!$Y$26="Muy Alta",'Mapa final'!$AA$26="Leve"),CONCATENATE("R7C",'Mapa final'!$O$26),"")</f>
        <v/>
      </c>
      <c r="P12" s="52" t="str">
        <f>IF(AND('Mapa final'!$Y$21="Muy Alta",'Mapa final'!$AA$21="Menor"),CONCATENATE("R7C",'Mapa final'!$O$21),"")</f>
        <v/>
      </c>
      <c r="Q12" s="53" t="str">
        <f>IF(AND('Mapa final'!$Y$22="Muy Alta",'Mapa final'!$AA$22="Menor"),CONCATENATE("R7C",'Mapa final'!$O$22),"")</f>
        <v/>
      </c>
      <c r="R12" s="53" t="str">
        <f>IF(AND('Mapa final'!$Y$23="Muy Alta",'Mapa final'!$AA$23="Menor"),CONCATENATE("R7C",'Mapa final'!$O$23),"")</f>
        <v/>
      </c>
      <c r="S12" s="53" t="str">
        <f>IF(AND('Mapa final'!$Y$24="Muy Alta",'Mapa final'!$AA$24="Menor"),CONCATENATE("R7C",'Mapa final'!$O$24),"")</f>
        <v/>
      </c>
      <c r="T12" s="53" t="str">
        <f>IF(AND('Mapa final'!$Y$25="Muy Alta",'Mapa final'!$AA$25="Menor"),CONCATENATE("R7C",'Mapa final'!$O$25),"")</f>
        <v/>
      </c>
      <c r="U12" s="54" t="str">
        <f>IF(AND('Mapa final'!$Y$26="Muy Alta",'Mapa final'!$AA$26="Menor"),CONCATENATE("R7C",'Mapa final'!$O$26),"")</f>
        <v/>
      </c>
      <c r="V12" s="52" t="str">
        <f>IF(AND('Mapa final'!$Y$21="Muy Alta",'Mapa final'!$AA$21="Moderado"),CONCATENATE("R7C",'Mapa final'!$O$21),"")</f>
        <v/>
      </c>
      <c r="W12" s="53" t="str">
        <f>IF(AND('Mapa final'!$Y$22="Muy Alta",'Mapa final'!$AA$22="Moderado"),CONCATENATE("R7C",'Mapa final'!$O$22),"")</f>
        <v/>
      </c>
      <c r="X12" s="53" t="str">
        <f>IF(AND('Mapa final'!$Y$23="Muy Alta",'Mapa final'!$AA$23="Moderado"),CONCATENATE("R7C",'Mapa final'!$O$23),"")</f>
        <v/>
      </c>
      <c r="Y12" s="53" t="str">
        <f>IF(AND('Mapa final'!$Y$24="Muy Alta",'Mapa final'!$AA$24="Moderado"),CONCATENATE("R7C",'Mapa final'!$O$24),"")</f>
        <v/>
      </c>
      <c r="Z12" s="53" t="str">
        <f>IF(AND('Mapa final'!$Y$25="Muy Alta",'Mapa final'!$AA$25="Moderado"),CONCATENATE("R7C",'Mapa final'!$O$25),"")</f>
        <v/>
      </c>
      <c r="AA12" s="54" t="str">
        <f>IF(AND('Mapa final'!$Y$26="Muy Alta",'Mapa final'!$AA$26="Moderado"),CONCATENATE("R7C",'Mapa final'!$O$26),"")</f>
        <v/>
      </c>
      <c r="AB12" s="52" t="str">
        <f>IF(AND('Mapa final'!$Y$21="Muy Alta",'Mapa final'!$AA$21="Mayor"),CONCATENATE("R7C",'Mapa final'!$O$21),"")</f>
        <v/>
      </c>
      <c r="AC12" s="53" t="str">
        <f>IF(AND('Mapa final'!$Y$22="Muy Alta",'Mapa final'!$AA$22="Mayor"),CONCATENATE("R7C",'Mapa final'!$O$22),"")</f>
        <v/>
      </c>
      <c r="AD12" s="53" t="str">
        <f>IF(AND('Mapa final'!$Y$23="Muy Alta",'Mapa final'!$AA$23="Mayor"),CONCATENATE("R7C",'Mapa final'!$O$23),"")</f>
        <v/>
      </c>
      <c r="AE12" s="53" t="str">
        <f>IF(AND('Mapa final'!$Y$24="Muy Alta",'Mapa final'!$AA$24="Mayor"),CONCATENATE("R7C",'Mapa final'!$O$24),"")</f>
        <v/>
      </c>
      <c r="AF12" s="53" t="str">
        <f>IF(AND('Mapa final'!$Y$25="Muy Alta",'Mapa final'!$AA$25="Mayor"),CONCATENATE("R7C",'Mapa final'!$O$25),"")</f>
        <v/>
      </c>
      <c r="AG12" s="54" t="str">
        <f>IF(AND('Mapa final'!$Y$26="Muy Alta",'Mapa final'!$AA$26="Mayor"),CONCATENATE("R7C",'Mapa final'!$O$26),"")</f>
        <v/>
      </c>
      <c r="AH12" s="55" t="str">
        <f>IF(AND('Mapa final'!$Y$21="Muy Alta",'Mapa final'!$AA$21="Catastrófico"),CONCATENATE("R7C",'Mapa final'!$O$21),"")</f>
        <v/>
      </c>
      <c r="AI12" s="56" t="str">
        <f>IF(AND('Mapa final'!$Y$22="Muy Alta",'Mapa final'!$AA$22="Catastrófico"),CONCATENATE("R7C",'Mapa final'!$O$22),"")</f>
        <v/>
      </c>
      <c r="AJ12" s="56" t="str">
        <f>IF(AND('Mapa final'!$Y$23="Muy Alta",'Mapa final'!$AA$23="Catastrófico"),CONCATENATE("R7C",'Mapa final'!$O$23),"")</f>
        <v/>
      </c>
      <c r="AK12" s="56" t="str">
        <f>IF(AND('Mapa final'!$Y$24="Muy Alta",'Mapa final'!$AA$24="Catastrófico"),CONCATENATE("R7C",'Mapa final'!$O$24),"")</f>
        <v/>
      </c>
      <c r="AL12" s="56" t="str">
        <f>IF(AND('Mapa final'!$Y$25="Muy Alta",'Mapa final'!$AA$25="Catastrófico"),CONCATENATE("R7C",'Mapa final'!$O$25),"")</f>
        <v/>
      </c>
      <c r="AM12" s="57" t="str">
        <f>IF(AND('Mapa final'!$Y$26="Muy Alta",'Mapa final'!$AA$26="Catastrófico"),CONCATENATE("R7C",'Mapa final'!$O$26),"")</f>
        <v/>
      </c>
      <c r="AN12" s="83"/>
      <c r="AO12" s="358"/>
      <c r="AP12" s="359"/>
      <c r="AQ12" s="359"/>
      <c r="AR12" s="359"/>
      <c r="AS12" s="359"/>
      <c r="AT12" s="36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53"/>
      <c r="C13" s="253"/>
      <c r="D13" s="254"/>
      <c r="E13" s="352"/>
      <c r="F13" s="351"/>
      <c r="G13" s="351"/>
      <c r="H13" s="351"/>
      <c r="I13" s="367"/>
      <c r="J13" s="52" t="str">
        <f>IF(AND('Mapa final'!$Y$27="Muy Alta",'Mapa final'!$AA$27="Leve"),CONCATENATE("R8C",'Mapa final'!$O$27),"")</f>
        <v/>
      </c>
      <c r="K13" s="53" t="str">
        <f>IF(AND('Mapa final'!$Y$28="Muy Alta",'Mapa final'!$AA$28="Leve"),CONCATENATE("R8C",'Mapa final'!$O$28),"")</f>
        <v/>
      </c>
      <c r="L13" s="53" t="str">
        <f>IF(AND('Mapa final'!$Y$29="Muy Alta",'Mapa final'!$AA$29="Leve"),CONCATENATE("R8C",'Mapa final'!$O$29),"")</f>
        <v/>
      </c>
      <c r="M13" s="53" t="str">
        <f>IF(AND('Mapa final'!$Y$30="Muy Alta",'Mapa final'!$AA$30="Leve"),CONCATENATE("R8C",'Mapa final'!$O$30),"")</f>
        <v/>
      </c>
      <c r="N13" s="53" t="str">
        <f>IF(AND('Mapa final'!$Y$31="Muy Alta",'Mapa final'!$AA$31="Leve"),CONCATENATE("R8C",'Mapa final'!$O$31),"")</f>
        <v/>
      </c>
      <c r="O13" s="54" t="str">
        <f>IF(AND('Mapa final'!$Y$32="Muy Alta",'Mapa final'!$AA$32="Leve"),CONCATENATE("R8C",'Mapa final'!$O$32),"")</f>
        <v/>
      </c>
      <c r="P13" s="52" t="str">
        <f>IF(AND('Mapa final'!$Y$27="Muy Alta",'Mapa final'!$AA$27="Menor"),CONCATENATE("R8C",'Mapa final'!$O$27),"")</f>
        <v/>
      </c>
      <c r="Q13" s="53" t="str">
        <f>IF(AND('Mapa final'!$Y$28="Muy Alta",'Mapa final'!$AA$28="Menor"),CONCATENATE("R8C",'Mapa final'!$O$28),"")</f>
        <v/>
      </c>
      <c r="R13" s="53" t="str">
        <f>IF(AND('Mapa final'!$Y$29="Muy Alta",'Mapa final'!$AA$29="Menor"),CONCATENATE("R8C",'Mapa final'!$O$29),"")</f>
        <v/>
      </c>
      <c r="S13" s="53" t="str">
        <f>IF(AND('Mapa final'!$Y$30="Muy Alta",'Mapa final'!$AA$30="Menor"),CONCATENATE("R8C",'Mapa final'!$O$30),"")</f>
        <v/>
      </c>
      <c r="T13" s="53" t="str">
        <f>IF(AND('Mapa final'!$Y$31="Muy Alta",'Mapa final'!$AA$31="Menor"),CONCATENATE("R8C",'Mapa final'!$O$31),"")</f>
        <v/>
      </c>
      <c r="U13" s="54" t="str">
        <f>IF(AND('Mapa final'!$Y$32="Muy Alta",'Mapa final'!$AA$32="Menor"),CONCATENATE("R8C",'Mapa final'!$O$32),"")</f>
        <v/>
      </c>
      <c r="V13" s="52" t="str">
        <f>IF(AND('Mapa final'!$Y$27="Muy Alta",'Mapa final'!$AA$27="Moderado"),CONCATENATE("R8C",'Mapa final'!$O$27),"")</f>
        <v/>
      </c>
      <c r="W13" s="53" t="str">
        <f>IF(AND('Mapa final'!$Y$28="Muy Alta",'Mapa final'!$AA$28="Moderado"),CONCATENATE("R8C",'Mapa final'!$O$28),"")</f>
        <v/>
      </c>
      <c r="X13" s="53" t="str">
        <f>IF(AND('Mapa final'!$Y$29="Muy Alta",'Mapa final'!$AA$29="Moderado"),CONCATENATE("R8C",'Mapa final'!$O$29),"")</f>
        <v/>
      </c>
      <c r="Y13" s="53" t="str">
        <f>IF(AND('Mapa final'!$Y$30="Muy Alta",'Mapa final'!$AA$30="Moderado"),CONCATENATE("R8C",'Mapa final'!$O$30),"")</f>
        <v/>
      </c>
      <c r="Z13" s="53" t="str">
        <f>IF(AND('Mapa final'!$Y$31="Muy Alta",'Mapa final'!$AA$31="Moderado"),CONCATENATE("R8C",'Mapa final'!$O$31),"")</f>
        <v/>
      </c>
      <c r="AA13" s="54" t="str">
        <f>IF(AND('Mapa final'!$Y$32="Muy Alta",'Mapa final'!$AA$32="Moderado"),CONCATENATE("R8C",'Mapa final'!$O$32),"")</f>
        <v/>
      </c>
      <c r="AB13" s="52" t="str">
        <f>IF(AND('Mapa final'!$Y$27="Muy Alta",'Mapa final'!$AA$27="Mayor"),CONCATENATE("R8C",'Mapa final'!$O$27),"")</f>
        <v/>
      </c>
      <c r="AC13" s="53" t="str">
        <f>IF(AND('Mapa final'!$Y$28="Muy Alta",'Mapa final'!$AA$28="Mayor"),CONCATENATE("R8C",'Mapa final'!$O$28),"")</f>
        <v/>
      </c>
      <c r="AD13" s="53" t="str">
        <f>IF(AND('Mapa final'!$Y$29="Muy Alta",'Mapa final'!$AA$29="Mayor"),CONCATENATE("R8C",'Mapa final'!$O$29),"")</f>
        <v/>
      </c>
      <c r="AE13" s="53" t="str">
        <f>IF(AND('Mapa final'!$Y$30="Muy Alta",'Mapa final'!$AA$30="Mayor"),CONCATENATE("R8C",'Mapa final'!$O$30),"")</f>
        <v/>
      </c>
      <c r="AF13" s="53" t="str">
        <f>IF(AND('Mapa final'!$Y$31="Muy Alta",'Mapa final'!$AA$31="Mayor"),CONCATENATE("R8C",'Mapa final'!$O$31),"")</f>
        <v/>
      </c>
      <c r="AG13" s="54" t="str">
        <f>IF(AND('Mapa final'!$Y$32="Muy Alta",'Mapa final'!$AA$32="Mayor"),CONCATENATE("R8C",'Mapa final'!$O$32),"")</f>
        <v/>
      </c>
      <c r="AH13" s="55" t="str">
        <f>IF(AND('Mapa final'!$Y$27="Muy Alta",'Mapa final'!$AA$27="Catastrófico"),CONCATENATE("R8C",'Mapa final'!$O$27),"")</f>
        <v/>
      </c>
      <c r="AI13" s="56" t="str">
        <f>IF(AND('Mapa final'!$Y$28="Muy Alta",'Mapa final'!$AA$28="Catastrófico"),CONCATENATE("R8C",'Mapa final'!$O$28),"")</f>
        <v/>
      </c>
      <c r="AJ13" s="56" t="str">
        <f>IF(AND('Mapa final'!$Y$29="Muy Alta",'Mapa final'!$AA$29="Catastrófico"),CONCATENATE("R8C",'Mapa final'!$O$29),"")</f>
        <v/>
      </c>
      <c r="AK13" s="56" t="str">
        <f>IF(AND('Mapa final'!$Y$30="Muy Alta",'Mapa final'!$AA$30="Catastrófico"),CONCATENATE("R8C",'Mapa final'!$O$30),"")</f>
        <v/>
      </c>
      <c r="AL13" s="56" t="str">
        <f>IF(AND('Mapa final'!$Y$31="Muy Alta",'Mapa final'!$AA$31="Catastrófico"),CONCATENATE("R8C",'Mapa final'!$O$31),"")</f>
        <v/>
      </c>
      <c r="AM13" s="57" t="str">
        <f>IF(AND('Mapa final'!$Y$32="Muy Alta",'Mapa final'!$AA$32="Catastrófico"),CONCATENATE("R8C",'Mapa final'!$O$32),"")</f>
        <v/>
      </c>
      <c r="AN13" s="83"/>
      <c r="AO13" s="358"/>
      <c r="AP13" s="359"/>
      <c r="AQ13" s="359"/>
      <c r="AR13" s="359"/>
      <c r="AS13" s="359"/>
      <c r="AT13" s="36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53"/>
      <c r="C14" s="253"/>
      <c r="D14" s="254"/>
      <c r="E14" s="352"/>
      <c r="F14" s="351"/>
      <c r="G14" s="351"/>
      <c r="H14" s="351"/>
      <c r="I14" s="367"/>
      <c r="J14" s="52" t="str">
        <f>IF(AND('Mapa final'!$Y$33="Muy Alta",'Mapa final'!$AA$33="Leve"),CONCATENATE("R9C",'Mapa final'!$O$33),"")</f>
        <v/>
      </c>
      <c r="K14" s="53" t="str">
        <f>IF(AND('Mapa final'!$Y$34="Muy Alta",'Mapa final'!$AA$34="Leve"),CONCATENATE("R9C",'Mapa final'!$O$34),"")</f>
        <v/>
      </c>
      <c r="L14" s="53" t="str">
        <f>IF(AND('Mapa final'!$Y$35="Muy Alta",'Mapa final'!$AA$35="Leve"),CONCATENATE("R9C",'Mapa final'!$O$35),"")</f>
        <v/>
      </c>
      <c r="M14" s="53" t="str">
        <f>IF(AND('Mapa final'!$Y$36="Muy Alta",'Mapa final'!$AA$36="Leve"),CONCATENATE("R9C",'Mapa final'!$O$36),"")</f>
        <v/>
      </c>
      <c r="N14" s="53" t="str">
        <f>IF(AND('Mapa final'!$Y$37="Muy Alta",'Mapa final'!$AA$37="Leve"),CONCATENATE("R9C",'Mapa final'!$O$37),"")</f>
        <v/>
      </c>
      <c r="O14" s="54" t="str">
        <f>IF(AND('Mapa final'!$Y$38="Muy Alta",'Mapa final'!$AA$38="Leve"),CONCATENATE("R9C",'Mapa final'!$O$38),"")</f>
        <v/>
      </c>
      <c r="P14" s="52" t="str">
        <f>IF(AND('Mapa final'!$Y$33="Muy Alta",'Mapa final'!$AA$33="Menor"),CONCATENATE("R9C",'Mapa final'!$O$33),"")</f>
        <v/>
      </c>
      <c r="Q14" s="53" t="str">
        <f>IF(AND('Mapa final'!$Y$34="Muy Alta",'Mapa final'!$AA$34="Menor"),CONCATENATE("R9C",'Mapa final'!$O$34),"")</f>
        <v/>
      </c>
      <c r="R14" s="53" t="str">
        <f>IF(AND('Mapa final'!$Y$35="Muy Alta",'Mapa final'!$AA$35="Menor"),CONCATENATE("R9C",'Mapa final'!$O$35),"")</f>
        <v/>
      </c>
      <c r="S14" s="53" t="str">
        <f>IF(AND('Mapa final'!$Y$36="Muy Alta",'Mapa final'!$AA$36="Menor"),CONCATENATE("R9C",'Mapa final'!$O$36),"")</f>
        <v/>
      </c>
      <c r="T14" s="53" t="str">
        <f>IF(AND('Mapa final'!$Y$37="Muy Alta",'Mapa final'!$AA$37="Menor"),CONCATENATE("R9C",'Mapa final'!$O$37),"")</f>
        <v/>
      </c>
      <c r="U14" s="54" t="str">
        <f>IF(AND('Mapa final'!$Y$38="Muy Alta",'Mapa final'!$AA$38="Menor"),CONCATENATE("R9C",'Mapa final'!$O$38),"")</f>
        <v/>
      </c>
      <c r="V14" s="52" t="str">
        <f>IF(AND('Mapa final'!$Y$33="Muy Alta",'Mapa final'!$AA$33="Moderado"),CONCATENATE("R9C",'Mapa final'!$O$33),"")</f>
        <v/>
      </c>
      <c r="W14" s="53" t="str">
        <f>IF(AND('Mapa final'!$Y$34="Muy Alta",'Mapa final'!$AA$34="Moderado"),CONCATENATE("R9C",'Mapa final'!$O$34),"")</f>
        <v/>
      </c>
      <c r="X14" s="53" t="str">
        <f>IF(AND('Mapa final'!$Y$35="Muy Alta",'Mapa final'!$AA$35="Moderado"),CONCATENATE("R9C",'Mapa final'!$O$35),"")</f>
        <v/>
      </c>
      <c r="Y14" s="53" t="str">
        <f>IF(AND('Mapa final'!$Y$36="Muy Alta",'Mapa final'!$AA$36="Moderado"),CONCATENATE("R9C",'Mapa final'!$O$36),"")</f>
        <v/>
      </c>
      <c r="Z14" s="53" t="str">
        <f>IF(AND('Mapa final'!$Y$37="Muy Alta",'Mapa final'!$AA$37="Moderado"),CONCATENATE("R9C",'Mapa final'!$O$37),"")</f>
        <v/>
      </c>
      <c r="AA14" s="54" t="str">
        <f>IF(AND('Mapa final'!$Y$38="Muy Alta",'Mapa final'!$AA$38="Moderado"),CONCATENATE("R9C",'Mapa final'!$O$38),"")</f>
        <v/>
      </c>
      <c r="AB14" s="52" t="str">
        <f>IF(AND('Mapa final'!$Y$33="Muy Alta",'Mapa final'!$AA$33="Mayor"),CONCATENATE("R9C",'Mapa final'!$O$33),"")</f>
        <v/>
      </c>
      <c r="AC14" s="53" t="str">
        <f>IF(AND('Mapa final'!$Y$34="Muy Alta",'Mapa final'!$AA$34="Mayor"),CONCATENATE("R9C",'Mapa final'!$O$34),"")</f>
        <v/>
      </c>
      <c r="AD14" s="53" t="str">
        <f>IF(AND('Mapa final'!$Y$35="Muy Alta",'Mapa final'!$AA$35="Mayor"),CONCATENATE("R9C",'Mapa final'!$O$35),"")</f>
        <v/>
      </c>
      <c r="AE14" s="53" t="str">
        <f>IF(AND('Mapa final'!$Y$36="Muy Alta",'Mapa final'!$AA$36="Mayor"),CONCATENATE("R9C",'Mapa final'!$O$36),"")</f>
        <v/>
      </c>
      <c r="AF14" s="53" t="str">
        <f>IF(AND('Mapa final'!$Y$37="Muy Alta",'Mapa final'!$AA$37="Mayor"),CONCATENATE("R9C",'Mapa final'!$O$37),"")</f>
        <v/>
      </c>
      <c r="AG14" s="54" t="str">
        <f>IF(AND('Mapa final'!$Y$38="Muy Alta",'Mapa final'!$AA$38="Mayor"),CONCATENATE("R9C",'Mapa final'!$O$38),"")</f>
        <v/>
      </c>
      <c r="AH14" s="55" t="str">
        <f>IF(AND('Mapa final'!$Y$33="Muy Alta",'Mapa final'!$AA$33="Catastrófico"),CONCATENATE("R9C",'Mapa final'!$O$33),"")</f>
        <v/>
      </c>
      <c r="AI14" s="56" t="str">
        <f>IF(AND('Mapa final'!$Y$34="Muy Alta",'Mapa final'!$AA$34="Catastrófico"),CONCATENATE("R9C",'Mapa final'!$O$34),"")</f>
        <v/>
      </c>
      <c r="AJ14" s="56" t="str">
        <f>IF(AND('Mapa final'!$Y$35="Muy Alta",'Mapa final'!$AA$35="Catastrófico"),CONCATENATE("R9C",'Mapa final'!$O$35),"")</f>
        <v/>
      </c>
      <c r="AK14" s="56" t="str">
        <f>IF(AND('Mapa final'!$Y$36="Muy Alta",'Mapa final'!$AA$36="Catastrófico"),CONCATENATE("R9C",'Mapa final'!$O$36),"")</f>
        <v/>
      </c>
      <c r="AL14" s="56" t="str">
        <f>IF(AND('Mapa final'!$Y$37="Muy Alta",'Mapa final'!$AA$37="Catastrófico"),CONCATENATE("R9C",'Mapa final'!$O$37),"")</f>
        <v/>
      </c>
      <c r="AM14" s="57" t="str">
        <f>IF(AND('Mapa final'!$Y$38="Muy Alta",'Mapa final'!$AA$38="Catastrófico"),CONCATENATE("R9C",'Mapa final'!$O$38),"")</f>
        <v/>
      </c>
      <c r="AN14" s="83"/>
      <c r="AO14" s="358"/>
      <c r="AP14" s="359"/>
      <c r="AQ14" s="359"/>
      <c r="AR14" s="359"/>
      <c r="AS14" s="359"/>
      <c r="AT14" s="36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53"/>
      <c r="C15" s="253"/>
      <c r="D15" s="254"/>
      <c r="E15" s="353"/>
      <c r="F15" s="354"/>
      <c r="G15" s="354"/>
      <c r="H15" s="354"/>
      <c r="I15" s="368"/>
      <c r="J15" s="58" t="str">
        <f>IF(AND('Mapa final'!$Y$39="Muy Alta",'Mapa final'!$AA$39="Leve"),CONCATENATE("R10C",'Mapa final'!$O$39),"")</f>
        <v/>
      </c>
      <c r="K15" s="59" t="str">
        <f>IF(AND('Mapa final'!$Y$40="Muy Alta",'Mapa final'!$AA$40="Leve"),CONCATENATE("R10C",'Mapa final'!$O$40),"")</f>
        <v/>
      </c>
      <c r="L15" s="59" t="str">
        <f>IF(AND('Mapa final'!$Y$41="Muy Alta",'Mapa final'!$AA$41="Leve"),CONCATENATE("R10C",'Mapa final'!$O$41),"")</f>
        <v/>
      </c>
      <c r="M15" s="59" t="str">
        <f>IF(AND('Mapa final'!$Y$42="Muy Alta",'Mapa final'!$AA$42="Leve"),CONCATENATE("R10C",'Mapa final'!$O$42),"")</f>
        <v/>
      </c>
      <c r="N15" s="59" t="str">
        <f>IF(AND('Mapa final'!$Y$43="Muy Alta",'Mapa final'!$AA$43="Leve"),CONCATENATE("R10C",'Mapa final'!$O$43),"")</f>
        <v/>
      </c>
      <c r="O15" s="60" t="str">
        <f>IF(AND('Mapa final'!$Y$44="Muy Alta",'Mapa final'!$AA$44="Leve"),CONCATENATE("R10C",'Mapa final'!$O$44),"")</f>
        <v/>
      </c>
      <c r="P15" s="52" t="str">
        <f>IF(AND('Mapa final'!$Y$39="Muy Alta",'Mapa final'!$AA$39="Menor"),CONCATENATE("R10C",'Mapa final'!$O$39),"")</f>
        <v/>
      </c>
      <c r="Q15" s="53" t="str">
        <f>IF(AND('Mapa final'!$Y$40="Muy Alta",'Mapa final'!$AA$40="Menor"),CONCATENATE("R10C",'Mapa final'!$O$40),"")</f>
        <v/>
      </c>
      <c r="R15" s="53" t="str">
        <f>IF(AND('Mapa final'!$Y$41="Muy Alta",'Mapa final'!$AA$41="Menor"),CONCATENATE("R10C",'Mapa final'!$O$41),"")</f>
        <v/>
      </c>
      <c r="S15" s="53" t="str">
        <f>IF(AND('Mapa final'!$Y$42="Muy Alta",'Mapa final'!$AA$42="Menor"),CONCATENATE("R10C",'Mapa final'!$O$42),"")</f>
        <v/>
      </c>
      <c r="T15" s="53" t="str">
        <f>IF(AND('Mapa final'!$Y$43="Muy Alta",'Mapa final'!$AA$43="Menor"),CONCATENATE("R10C",'Mapa final'!$O$43),"")</f>
        <v/>
      </c>
      <c r="U15" s="54" t="str">
        <f>IF(AND('Mapa final'!$Y$44="Muy Alta",'Mapa final'!$AA$44="Menor"),CONCATENATE("R10C",'Mapa final'!$O$44),"")</f>
        <v/>
      </c>
      <c r="V15" s="58" t="str">
        <f>IF(AND('Mapa final'!$Y$39="Muy Alta",'Mapa final'!$AA$39="Moderado"),CONCATENATE("R10C",'Mapa final'!$O$39),"")</f>
        <v/>
      </c>
      <c r="W15" s="59" t="str">
        <f>IF(AND('Mapa final'!$Y$40="Muy Alta",'Mapa final'!$AA$40="Moderado"),CONCATENATE("R10C",'Mapa final'!$O$40),"")</f>
        <v/>
      </c>
      <c r="X15" s="59" t="str">
        <f>IF(AND('Mapa final'!$Y$41="Muy Alta",'Mapa final'!$AA$41="Moderado"),CONCATENATE("R10C",'Mapa final'!$O$41),"")</f>
        <v/>
      </c>
      <c r="Y15" s="59" t="str">
        <f>IF(AND('Mapa final'!$Y$42="Muy Alta",'Mapa final'!$AA$42="Moderado"),CONCATENATE("R10C",'Mapa final'!$O$42),"")</f>
        <v/>
      </c>
      <c r="Z15" s="59" t="str">
        <f>IF(AND('Mapa final'!$Y$43="Muy Alta",'Mapa final'!$AA$43="Moderado"),CONCATENATE("R10C",'Mapa final'!$O$43),"")</f>
        <v/>
      </c>
      <c r="AA15" s="60" t="str">
        <f>IF(AND('Mapa final'!$Y$44="Muy Alta",'Mapa final'!$AA$44="Moderado"),CONCATENATE("R10C",'Mapa final'!$O$44),"")</f>
        <v/>
      </c>
      <c r="AB15" s="52" t="str">
        <f>IF(AND('Mapa final'!$Y$39="Muy Alta",'Mapa final'!$AA$39="Mayor"),CONCATENATE("R10C",'Mapa final'!$O$39),"")</f>
        <v/>
      </c>
      <c r="AC15" s="53" t="str">
        <f>IF(AND('Mapa final'!$Y$40="Muy Alta",'Mapa final'!$AA$40="Mayor"),CONCATENATE("R10C",'Mapa final'!$O$40),"")</f>
        <v/>
      </c>
      <c r="AD15" s="53" t="str">
        <f>IF(AND('Mapa final'!$Y$41="Muy Alta",'Mapa final'!$AA$41="Mayor"),CONCATENATE("R10C",'Mapa final'!$O$41),"")</f>
        <v/>
      </c>
      <c r="AE15" s="53" t="str">
        <f>IF(AND('Mapa final'!$Y$42="Muy Alta",'Mapa final'!$AA$42="Mayor"),CONCATENATE("R10C",'Mapa final'!$O$42),"")</f>
        <v/>
      </c>
      <c r="AF15" s="53" t="str">
        <f>IF(AND('Mapa final'!$Y$43="Muy Alta",'Mapa final'!$AA$43="Mayor"),CONCATENATE("R10C",'Mapa final'!$O$43),"")</f>
        <v/>
      </c>
      <c r="AG15" s="54" t="str">
        <f>IF(AND('Mapa final'!$Y$44="Muy Alta",'Mapa final'!$AA$44="Mayor"),CONCATENATE("R10C",'Mapa final'!$O$44),"")</f>
        <v/>
      </c>
      <c r="AH15" s="61" t="str">
        <f>IF(AND('Mapa final'!$Y$39="Muy Alta",'Mapa final'!$AA$39="Catastrófico"),CONCATENATE("R10C",'Mapa final'!$O$39),"")</f>
        <v/>
      </c>
      <c r="AI15" s="62" t="str">
        <f>IF(AND('Mapa final'!$Y$40="Muy Alta",'Mapa final'!$AA$40="Catastrófico"),CONCATENATE("R10C",'Mapa final'!$O$40),"")</f>
        <v/>
      </c>
      <c r="AJ15" s="62" t="str">
        <f>IF(AND('Mapa final'!$Y$41="Muy Alta",'Mapa final'!$AA$41="Catastrófico"),CONCATENATE("R10C",'Mapa final'!$O$41),"")</f>
        <v/>
      </c>
      <c r="AK15" s="62" t="str">
        <f>IF(AND('Mapa final'!$Y$42="Muy Alta",'Mapa final'!$AA$42="Catastrófico"),CONCATENATE("R10C",'Mapa final'!$O$42),"")</f>
        <v/>
      </c>
      <c r="AL15" s="62" t="str">
        <f>IF(AND('Mapa final'!$Y$43="Muy Alta",'Mapa final'!$AA$43="Catastrófico"),CONCATENATE("R10C",'Mapa final'!$O$43),"")</f>
        <v/>
      </c>
      <c r="AM15" s="63" t="str">
        <f>IF(AND('Mapa final'!$Y$44="Muy Alta",'Mapa final'!$AA$44="Catastrófico"),CONCATENATE("R10C",'Mapa final'!$O$44),"")</f>
        <v/>
      </c>
      <c r="AN15" s="83"/>
      <c r="AO15" s="361"/>
      <c r="AP15" s="362"/>
      <c r="AQ15" s="362"/>
      <c r="AR15" s="362"/>
      <c r="AS15" s="362"/>
      <c r="AT15" s="36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53"/>
      <c r="C16" s="253"/>
      <c r="D16" s="254"/>
      <c r="E16" s="348" t="s">
        <v>115</v>
      </c>
      <c r="F16" s="349"/>
      <c r="G16" s="349"/>
      <c r="H16" s="349"/>
      <c r="I16" s="349"/>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39" t="s">
        <v>80</v>
      </c>
      <c r="AP16" s="340"/>
      <c r="AQ16" s="340"/>
      <c r="AR16" s="340"/>
      <c r="AS16" s="340"/>
      <c r="AT16" s="34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53"/>
      <c r="C17" s="253"/>
      <c r="D17" s="254"/>
      <c r="E17" s="350"/>
      <c r="F17" s="351"/>
      <c r="G17" s="351"/>
      <c r="H17" s="351"/>
      <c r="I17" s="351"/>
      <c r="J17" s="67" t="str">
        <f>IF(AND('Mapa final'!$Y$11="Alta",'Mapa final'!$AA$11="Leve"),CONCATENATE("R2C",'Mapa final'!$O$11),"")</f>
        <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str">
        <f>IF(AND('Mapa final'!$Y$11="Alta",'Mapa final'!$AA$11="Menor"),CONCATENATE("R2C",'Mapa final'!$O$11),"")</f>
        <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42"/>
      <c r="AP17" s="343"/>
      <c r="AQ17" s="343"/>
      <c r="AR17" s="343"/>
      <c r="AS17" s="343"/>
      <c r="AT17" s="34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53"/>
      <c r="C18" s="253"/>
      <c r="D18" s="254"/>
      <c r="E18" s="352"/>
      <c r="F18" s="351"/>
      <c r="G18" s="351"/>
      <c r="H18" s="351"/>
      <c r="I18" s="351"/>
      <c r="J18" s="67" t="str">
        <f>IF(AND('Mapa final'!$Y$12="Alta",'Mapa final'!$AA$12="Leve"),CONCATENATE("R3C",'Mapa final'!$O$12),"")</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final'!$Y$12="Alta",'Mapa final'!$AA$12="Menor"),CONCATENATE("R3C",'Mapa final'!$O$12),"")</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42"/>
      <c r="AP18" s="343"/>
      <c r="AQ18" s="343"/>
      <c r="AR18" s="343"/>
      <c r="AS18" s="343"/>
      <c r="AT18" s="34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53"/>
      <c r="C19" s="253"/>
      <c r="D19" s="254"/>
      <c r="E19" s="352"/>
      <c r="F19" s="351"/>
      <c r="G19" s="351"/>
      <c r="H19" s="351"/>
      <c r="I19" s="351"/>
      <c r="J19" s="67" t="str">
        <f>IF(AND('Mapa final'!$Y$13="Alta",'Mapa final'!$AA$13="Leve"),CONCATENATE("R4C",'Mapa final'!$O$13),"")</f>
        <v/>
      </c>
      <c r="K19" s="68" t="e">
        <f>IF(AND('Mapa final'!#REF!="Alta",'Mapa final'!#REF!="Leve"),CONCATENATE("R4C",'Mapa final'!#REF!),"")</f>
        <v>#REF!</v>
      </c>
      <c r="L19" s="68" t="e">
        <f>IF(AND('Mapa final'!#REF!="Alta",'Mapa final'!#REF!="Leve"),CONCATENATE("R4C",'Mapa final'!#REF!),"")</f>
        <v>#REF!</v>
      </c>
      <c r="M19" s="68" t="e">
        <f>IF(AND('Mapa final'!#REF!="Alta",'Mapa final'!#REF!="Leve"),CONCATENATE("R4C",'Mapa final'!#REF!),"")</f>
        <v>#REF!</v>
      </c>
      <c r="N19" s="68" t="e">
        <f>IF(AND('Mapa final'!#REF!="Alta",'Mapa final'!#REF!="Leve"),CONCATENATE("R4C",'Mapa final'!#REF!),"")</f>
        <v>#REF!</v>
      </c>
      <c r="O19" s="69" t="e">
        <f>IF(AND('Mapa final'!#REF!="Alta",'Mapa final'!#REF!="Leve"),CONCATENATE("R4C",'Mapa final'!#REF!),"")</f>
        <v>#REF!</v>
      </c>
      <c r="P19" s="67" t="str">
        <f>IF(AND('Mapa final'!$Y$13="Alta",'Mapa final'!$AA$13="Menor"),CONCATENATE("R4C",'Mapa final'!$O$13),"")</f>
        <v/>
      </c>
      <c r="Q19" s="68" t="e">
        <f>IF(AND('Mapa final'!#REF!="Alta",'Mapa final'!#REF!="Menor"),CONCATENATE("R4C",'Mapa final'!#REF!),"")</f>
        <v>#REF!</v>
      </c>
      <c r="R19" s="68" t="e">
        <f>IF(AND('Mapa final'!#REF!="Alta",'Mapa final'!#REF!="Menor"),CONCATENATE("R4C",'Mapa final'!#REF!),"")</f>
        <v>#REF!</v>
      </c>
      <c r="S19" s="68" t="e">
        <f>IF(AND('Mapa final'!#REF!="Alta",'Mapa final'!#REF!="Menor"),CONCATENATE("R4C",'Mapa final'!#REF!),"")</f>
        <v>#REF!</v>
      </c>
      <c r="T19" s="68" t="e">
        <f>IF(AND('Mapa final'!#REF!="Alta",'Mapa final'!#REF!="Menor"),CONCATENATE("R4C",'Mapa final'!#REF!),"")</f>
        <v>#REF!</v>
      </c>
      <c r="U19" s="69" t="e">
        <f>IF(AND('Mapa final'!#REF!="Alta",'Mapa final'!#REF!="Menor"),CONCATENATE("R4C",'Mapa final'!#REF!),"")</f>
        <v>#REF!</v>
      </c>
      <c r="V19" s="52" t="str">
        <f>IF(AND('Mapa final'!$Y$13="Alta",'Mapa final'!$AA$13="Moderado"),CONCATENATE("R4C",'Mapa final'!$O$13),"")</f>
        <v/>
      </c>
      <c r="W19" s="53" t="e">
        <f>IF(AND('Mapa final'!#REF!="Alta",'Mapa final'!#REF!="Moderado"),CONCATENATE("R4C",'Mapa final'!#REF!),"")</f>
        <v>#REF!</v>
      </c>
      <c r="X19" s="53" t="e">
        <f>IF(AND('Mapa final'!#REF!="Alta",'Mapa final'!#REF!="Moderado"),CONCATENATE("R4C",'Mapa final'!#REF!),"")</f>
        <v>#REF!</v>
      </c>
      <c r="Y19" s="53" t="e">
        <f>IF(AND('Mapa final'!#REF!="Alta",'Mapa final'!#REF!="Moderado"),CONCATENATE("R4C",'Mapa final'!#REF!),"")</f>
        <v>#REF!</v>
      </c>
      <c r="Z19" s="53" t="e">
        <f>IF(AND('Mapa final'!#REF!="Alta",'Mapa final'!#REF!="Moderado"),CONCATENATE("R4C",'Mapa final'!#REF!),"")</f>
        <v>#REF!</v>
      </c>
      <c r="AA19" s="54" t="e">
        <f>IF(AND('Mapa final'!#REF!="Alta",'Mapa final'!#REF!="Moderado"),CONCATENATE("R4C",'Mapa final'!#REF!),"")</f>
        <v>#REF!</v>
      </c>
      <c r="AB19" s="52" t="str">
        <f>IF(AND('Mapa final'!$Y$13="Alta",'Mapa final'!$AA$13="Mayor"),CONCATENATE("R4C",'Mapa final'!$O$13),"")</f>
        <v/>
      </c>
      <c r="AC19" s="53" t="e">
        <f>IF(AND('Mapa final'!#REF!="Alta",'Mapa final'!#REF!="Mayor"),CONCATENATE("R4C",'Mapa final'!#REF!),"")</f>
        <v>#REF!</v>
      </c>
      <c r="AD19" s="53" t="e">
        <f>IF(AND('Mapa final'!#REF!="Alta",'Mapa final'!#REF!="Mayor"),CONCATENATE("R4C",'Mapa final'!#REF!),"")</f>
        <v>#REF!</v>
      </c>
      <c r="AE19" s="53" t="e">
        <f>IF(AND('Mapa final'!#REF!="Alta",'Mapa final'!#REF!="Mayor"),CONCATENATE("R4C",'Mapa final'!#REF!),"")</f>
        <v>#REF!</v>
      </c>
      <c r="AF19" s="53" t="e">
        <f>IF(AND('Mapa final'!#REF!="Alta",'Mapa final'!#REF!="Mayor"),CONCATENATE("R4C",'Mapa final'!#REF!),"")</f>
        <v>#REF!</v>
      </c>
      <c r="AG19" s="54" t="e">
        <f>IF(AND('Mapa final'!#REF!="Alta",'Mapa final'!#REF!="Mayor"),CONCATENATE("R4C",'Mapa final'!#REF!),"")</f>
        <v>#REF!</v>
      </c>
      <c r="AH19" s="55" t="str">
        <f>IF(AND('Mapa final'!$Y$13="Alta",'Mapa final'!$AA$13="Catastrófico"),CONCATENATE("R4C",'Mapa final'!$O$13),"")</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3"/>
      <c r="AO19" s="342"/>
      <c r="AP19" s="343"/>
      <c r="AQ19" s="343"/>
      <c r="AR19" s="343"/>
      <c r="AS19" s="343"/>
      <c r="AT19" s="34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53"/>
      <c r="C20" s="253"/>
      <c r="D20" s="254"/>
      <c r="E20" s="352"/>
      <c r="F20" s="351"/>
      <c r="G20" s="351"/>
      <c r="H20" s="351"/>
      <c r="I20" s="351"/>
      <c r="J20" s="67" t="str">
        <f>IF(AND('Mapa final'!$Y$14="Alta",'Mapa final'!$AA$14="Leve"),CONCATENATE("R5C",'Mapa final'!$O$14),"")</f>
        <v/>
      </c>
      <c r="K20" s="68" t="e">
        <f>IF(AND('Mapa final'!#REF!="Alta",'Mapa final'!#REF!="Leve"),CONCATENATE("R5C",'Mapa final'!#REF!),"")</f>
        <v>#REF!</v>
      </c>
      <c r="L20" s="68" t="e">
        <f>IF(AND('Mapa final'!#REF!="Alta",'Mapa final'!#REF!="Leve"),CONCATENATE("R5C",'Mapa final'!#REF!),"")</f>
        <v>#REF!</v>
      </c>
      <c r="M20" s="68" t="e">
        <f>IF(AND('Mapa final'!#REF!="Alta",'Mapa final'!#REF!="Leve"),CONCATENATE("R5C",'Mapa final'!#REF!),"")</f>
        <v>#REF!</v>
      </c>
      <c r="N20" s="68" t="e">
        <f>IF(AND('Mapa final'!#REF!="Alta",'Mapa final'!#REF!="Leve"),CONCATENATE("R5C",'Mapa final'!#REF!),"")</f>
        <v>#REF!</v>
      </c>
      <c r="O20" s="69" t="e">
        <f>IF(AND('Mapa final'!#REF!="Alta",'Mapa final'!#REF!="Leve"),CONCATENATE("R5C",'Mapa final'!#REF!),"")</f>
        <v>#REF!</v>
      </c>
      <c r="P20" s="67" t="str">
        <f>IF(AND('Mapa final'!$Y$14="Alta",'Mapa final'!$AA$14="Menor"),CONCATENATE("R5C",'Mapa final'!$O$14),"")</f>
        <v/>
      </c>
      <c r="Q20" s="68" t="e">
        <f>IF(AND('Mapa final'!#REF!="Alta",'Mapa final'!#REF!="Menor"),CONCATENATE("R5C",'Mapa final'!#REF!),"")</f>
        <v>#REF!</v>
      </c>
      <c r="R20" s="68" t="e">
        <f>IF(AND('Mapa final'!#REF!="Alta",'Mapa final'!#REF!="Menor"),CONCATENATE("R5C",'Mapa final'!#REF!),"")</f>
        <v>#REF!</v>
      </c>
      <c r="S20" s="68" t="e">
        <f>IF(AND('Mapa final'!#REF!="Alta",'Mapa final'!#REF!="Menor"),CONCATENATE("R5C",'Mapa final'!#REF!),"")</f>
        <v>#REF!</v>
      </c>
      <c r="T20" s="68" t="e">
        <f>IF(AND('Mapa final'!#REF!="Alta",'Mapa final'!#REF!="Menor"),CONCATENATE("R5C",'Mapa final'!#REF!),"")</f>
        <v>#REF!</v>
      </c>
      <c r="U20" s="69" t="e">
        <f>IF(AND('Mapa final'!#REF!="Alta",'Mapa final'!#REF!="Menor"),CONCATENATE("R5C",'Mapa final'!#REF!),"")</f>
        <v>#REF!</v>
      </c>
      <c r="V20" s="52" t="str">
        <f>IF(AND('Mapa final'!$Y$14="Alta",'Mapa final'!$AA$14="Moderado"),CONCATENATE("R5C",'Mapa final'!$O$14),"")</f>
        <v/>
      </c>
      <c r="W20" s="53" t="e">
        <f>IF(AND('Mapa final'!#REF!="Alta",'Mapa final'!#REF!="Moderado"),CONCATENATE("R5C",'Mapa final'!#REF!),"")</f>
        <v>#REF!</v>
      </c>
      <c r="X20" s="53" t="e">
        <f>IF(AND('Mapa final'!#REF!="Alta",'Mapa final'!#REF!="Moderado"),CONCATENATE("R5C",'Mapa final'!#REF!),"")</f>
        <v>#REF!</v>
      </c>
      <c r="Y20" s="53" t="e">
        <f>IF(AND('Mapa final'!#REF!="Alta",'Mapa final'!#REF!="Moderado"),CONCATENATE("R5C",'Mapa final'!#REF!),"")</f>
        <v>#REF!</v>
      </c>
      <c r="Z20" s="53" t="e">
        <f>IF(AND('Mapa final'!#REF!="Alta",'Mapa final'!#REF!="Moderado"),CONCATENATE("R5C",'Mapa final'!#REF!),"")</f>
        <v>#REF!</v>
      </c>
      <c r="AA20" s="54" t="e">
        <f>IF(AND('Mapa final'!#REF!="Alta",'Mapa final'!#REF!="Moderado"),CONCATENATE("R5C",'Mapa final'!#REF!),"")</f>
        <v>#REF!</v>
      </c>
      <c r="AB20" s="52" t="str">
        <f>IF(AND('Mapa final'!$Y$14="Alta",'Mapa final'!$AA$14="Mayor"),CONCATENATE("R5C",'Mapa final'!$O$14),"")</f>
        <v/>
      </c>
      <c r="AC20" s="53" t="e">
        <f>IF(AND('Mapa final'!#REF!="Alta",'Mapa final'!#REF!="Mayor"),CONCATENATE("R5C",'Mapa final'!#REF!),"")</f>
        <v>#REF!</v>
      </c>
      <c r="AD20" s="53" t="e">
        <f>IF(AND('Mapa final'!#REF!="Alta",'Mapa final'!#REF!="Mayor"),CONCATENATE("R5C",'Mapa final'!#REF!),"")</f>
        <v>#REF!</v>
      </c>
      <c r="AE20" s="53" t="e">
        <f>IF(AND('Mapa final'!#REF!="Alta",'Mapa final'!#REF!="Mayor"),CONCATENATE("R5C",'Mapa final'!#REF!),"")</f>
        <v>#REF!</v>
      </c>
      <c r="AF20" s="53" t="e">
        <f>IF(AND('Mapa final'!#REF!="Alta",'Mapa final'!#REF!="Mayor"),CONCATENATE("R5C",'Mapa final'!#REF!),"")</f>
        <v>#REF!</v>
      </c>
      <c r="AG20" s="54" t="e">
        <f>IF(AND('Mapa final'!#REF!="Alta",'Mapa final'!#REF!="Mayor"),CONCATENATE("R5C",'Mapa final'!#REF!),"")</f>
        <v>#REF!</v>
      </c>
      <c r="AH20" s="55" t="str">
        <f>IF(AND('Mapa final'!$Y$14="Alta",'Mapa final'!$AA$14="Catastrófico"),CONCATENATE("R5C",'Mapa final'!$O$14),"")</f>
        <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3"/>
      <c r="AO20" s="342"/>
      <c r="AP20" s="343"/>
      <c r="AQ20" s="343"/>
      <c r="AR20" s="343"/>
      <c r="AS20" s="343"/>
      <c r="AT20" s="34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53"/>
      <c r="C21" s="253"/>
      <c r="D21" s="254"/>
      <c r="E21" s="352"/>
      <c r="F21" s="351"/>
      <c r="G21" s="351"/>
      <c r="H21" s="351"/>
      <c r="I21" s="351"/>
      <c r="J21" s="67" t="str">
        <f>IF(AND('Mapa final'!$Y$15="Alta",'Mapa final'!$AA$15="Leve"),CONCATENATE("R6C",'Mapa final'!$O$15),"")</f>
        <v/>
      </c>
      <c r="K21" s="68" t="str">
        <f>IF(AND('Mapa final'!$Y$16="Alta",'Mapa final'!$AA$16="Leve"),CONCATENATE("R6C",'Mapa final'!$O$16),"")</f>
        <v/>
      </c>
      <c r="L21" s="68" t="str">
        <f>IF(AND('Mapa final'!$Y$17="Alta",'Mapa final'!$AA$17="Leve"),CONCATENATE("R6C",'Mapa final'!$O$17),"")</f>
        <v/>
      </c>
      <c r="M21" s="68" t="str">
        <f>IF(AND('Mapa final'!$Y$18="Alta",'Mapa final'!$AA$18="Leve"),CONCATENATE("R6C",'Mapa final'!$O$18),"")</f>
        <v/>
      </c>
      <c r="N21" s="68" t="str">
        <f>IF(AND('Mapa final'!$Y$19="Alta",'Mapa final'!$AA$19="Leve"),CONCATENATE("R6C",'Mapa final'!$O$19),"")</f>
        <v/>
      </c>
      <c r="O21" s="69" t="str">
        <f>IF(AND('Mapa final'!$Y$20="Alta",'Mapa final'!$AA$20="Leve"),CONCATENATE("R6C",'Mapa final'!$O$20),"")</f>
        <v/>
      </c>
      <c r="P21" s="67" t="str">
        <f>IF(AND('Mapa final'!$Y$15="Alta",'Mapa final'!$AA$15="Menor"),CONCATENATE("R6C",'Mapa final'!$O$15),"")</f>
        <v/>
      </c>
      <c r="Q21" s="68" t="str">
        <f>IF(AND('Mapa final'!$Y$16="Alta",'Mapa final'!$AA$16="Menor"),CONCATENATE("R6C",'Mapa final'!$O$16),"")</f>
        <v/>
      </c>
      <c r="R21" s="68" t="str">
        <f>IF(AND('Mapa final'!$Y$17="Alta",'Mapa final'!$AA$17="Menor"),CONCATENATE("R6C",'Mapa final'!$O$17),"")</f>
        <v/>
      </c>
      <c r="S21" s="68" t="str">
        <f>IF(AND('Mapa final'!$Y$18="Alta",'Mapa final'!$AA$18="Menor"),CONCATENATE("R6C",'Mapa final'!$O$18),"")</f>
        <v/>
      </c>
      <c r="T21" s="68" t="str">
        <f>IF(AND('Mapa final'!$Y$19="Alta",'Mapa final'!$AA$19="Menor"),CONCATENATE("R6C",'Mapa final'!$O$19),"")</f>
        <v/>
      </c>
      <c r="U21" s="69" t="str">
        <f>IF(AND('Mapa final'!$Y$20="Alta",'Mapa final'!$AA$20="Menor"),CONCATENATE("R6C",'Mapa final'!$O$20),"")</f>
        <v/>
      </c>
      <c r="V21" s="52" t="str">
        <f>IF(AND('Mapa final'!$Y$15="Alta",'Mapa final'!$AA$15="Moderado"),CONCATENATE("R6C",'Mapa final'!$O$15),"")</f>
        <v/>
      </c>
      <c r="W21" s="53" t="str">
        <f>IF(AND('Mapa final'!$Y$16="Alta",'Mapa final'!$AA$16="Moderado"),CONCATENATE("R6C",'Mapa final'!$O$16),"")</f>
        <v/>
      </c>
      <c r="X21" s="53" t="str">
        <f>IF(AND('Mapa final'!$Y$17="Alta",'Mapa final'!$AA$17="Moderado"),CONCATENATE("R6C",'Mapa final'!$O$17),"")</f>
        <v/>
      </c>
      <c r="Y21" s="53" t="str">
        <f>IF(AND('Mapa final'!$Y$18="Alta",'Mapa final'!$AA$18="Moderado"),CONCATENATE("R6C",'Mapa final'!$O$18),"")</f>
        <v/>
      </c>
      <c r="Z21" s="53" t="str">
        <f>IF(AND('Mapa final'!$Y$19="Alta",'Mapa final'!$AA$19="Moderado"),CONCATENATE("R6C",'Mapa final'!$O$19),"")</f>
        <v/>
      </c>
      <c r="AA21" s="54" t="str">
        <f>IF(AND('Mapa final'!$Y$20="Alta",'Mapa final'!$AA$20="Moderado"),CONCATENATE("R6C",'Mapa final'!$O$20),"")</f>
        <v/>
      </c>
      <c r="AB21" s="52" t="str">
        <f>IF(AND('Mapa final'!$Y$15="Alta",'Mapa final'!$AA$15="Mayor"),CONCATENATE("R6C",'Mapa final'!$O$15),"")</f>
        <v/>
      </c>
      <c r="AC21" s="53" t="str">
        <f>IF(AND('Mapa final'!$Y$16="Alta",'Mapa final'!$AA$16="Mayor"),CONCATENATE("R6C",'Mapa final'!$O$16),"")</f>
        <v/>
      </c>
      <c r="AD21" s="53" t="str">
        <f>IF(AND('Mapa final'!$Y$17="Alta",'Mapa final'!$AA$17="Mayor"),CONCATENATE("R6C",'Mapa final'!$O$17),"")</f>
        <v/>
      </c>
      <c r="AE21" s="53" t="str">
        <f>IF(AND('Mapa final'!$Y$18="Alta",'Mapa final'!$AA$18="Mayor"),CONCATENATE("R6C",'Mapa final'!$O$18),"")</f>
        <v/>
      </c>
      <c r="AF21" s="53" t="str">
        <f>IF(AND('Mapa final'!$Y$19="Alta",'Mapa final'!$AA$19="Mayor"),CONCATENATE("R6C",'Mapa final'!$O$19),"")</f>
        <v/>
      </c>
      <c r="AG21" s="54" t="str">
        <f>IF(AND('Mapa final'!$Y$20="Alta",'Mapa final'!$AA$20="Mayor"),CONCATENATE("R6C",'Mapa final'!$O$20),"")</f>
        <v/>
      </c>
      <c r="AH21" s="55" t="str">
        <f>IF(AND('Mapa final'!$Y$15="Alta",'Mapa final'!$AA$15="Catastrófico"),CONCATENATE("R6C",'Mapa final'!$O$15),"")</f>
        <v/>
      </c>
      <c r="AI21" s="56" t="str">
        <f>IF(AND('Mapa final'!$Y$16="Alta",'Mapa final'!$AA$16="Catastrófico"),CONCATENATE("R6C",'Mapa final'!$O$16),"")</f>
        <v/>
      </c>
      <c r="AJ21" s="56" t="str">
        <f>IF(AND('Mapa final'!$Y$17="Alta",'Mapa final'!$AA$17="Catastrófico"),CONCATENATE("R6C",'Mapa final'!$O$17),"")</f>
        <v/>
      </c>
      <c r="AK21" s="56" t="str">
        <f>IF(AND('Mapa final'!$Y$18="Alta",'Mapa final'!$AA$18="Catastrófico"),CONCATENATE("R6C",'Mapa final'!$O$18),"")</f>
        <v/>
      </c>
      <c r="AL21" s="56" t="str">
        <f>IF(AND('Mapa final'!$Y$19="Alta",'Mapa final'!$AA$19="Catastrófico"),CONCATENATE("R6C",'Mapa final'!$O$19),"")</f>
        <v/>
      </c>
      <c r="AM21" s="57" t="str">
        <f>IF(AND('Mapa final'!$Y$20="Alta",'Mapa final'!$AA$20="Catastrófico"),CONCATENATE("R6C",'Mapa final'!$O$20),"")</f>
        <v/>
      </c>
      <c r="AN21" s="83"/>
      <c r="AO21" s="342"/>
      <c r="AP21" s="343"/>
      <c r="AQ21" s="343"/>
      <c r="AR21" s="343"/>
      <c r="AS21" s="343"/>
      <c r="AT21" s="34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53"/>
      <c r="C22" s="253"/>
      <c r="D22" s="254"/>
      <c r="E22" s="352"/>
      <c r="F22" s="351"/>
      <c r="G22" s="351"/>
      <c r="H22" s="351"/>
      <c r="I22" s="351"/>
      <c r="J22" s="67" t="str">
        <f>IF(AND('Mapa final'!$Y$21="Alta",'Mapa final'!$AA$21="Leve"),CONCATENATE("R7C",'Mapa final'!$O$21),"")</f>
        <v/>
      </c>
      <c r="K22" s="68" t="str">
        <f>IF(AND('Mapa final'!$Y$22="Alta",'Mapa final'!$AA$22="Leve"),CONCATENATE("R7C",'Mapa final'!$O$22),"")</f>
        <v/>
      </c>
      <c r="L22" s="68" t="str">
        <f>IF(AND('Mapa final'!$Y$23="Alta",'Mapa final'!$AA$23="Leve"),CONCATENATE("R7C",'Mapa final'!$O$23),"")</f>
        <v/>
      </c>
      <c r="M22" s="68" t="str">
        <f>IF(AND('Mapa final'!$Y$24="Alta",'Mapa final'!$AA$24="Leve"),CONCATENATE("R7C",'Mapa final'!$O$24),"")</f>
        <v/>
      </c>
      <c r="N22" s="68" t="str">
        <f>IF(AND('Mapa final'!$Y$25="Alta",'Mapa final'!$AA$25="Leve"),CONCATENATE("R7C",'Mapa final'!$O$25),"")</f>
        <v/>
      </c>
      <c r="O22" s="69" t="str">
        <f>IF(AND('Mapa final'!$Y$26="Alta",'Mapa final'!$AA$26="Leve"),CONCATENATE("R7C",'Mapa final'!$O$26),"")</f>
        <v/>
      </c>
      <c r="P22" s="67" t="str">
        <f>IF(AND('Mapa final'!$Y$21="Alta",'Mapa final'!$AA$21="Menor"),CONCATENATE("R7C",'Mapa final'!$O$21),"")</f>
        <v/>
      </c>
      <c r="Q22" s="68" t="str">
        <f>IF(AND('Mapa final'!$Y$22="Alta",'Mapa final'!$AA$22="Menor"),CONCATENATE("R7C",'Mapa final'!$O$22),"")</f>
        <v/>
      </c>
      <c r="R22" s="68" t="str">
        <f>IF(AND('Mapa final'!$Y$23="Alta",'Mapa final'!$AA$23="Menor"),CONCATENATE("R7C",'Mapa final'!$O$23),"")</f>
        <v/>
      </c>
      <c r="S22" s="68" t="str">
        <f>IF(AND('Mapa final'!$Y$24="Alta",'Mapa final'!$AA$24="Menor"),CONCATENATE("R7C",'Mapa final'!$O$24),"")</f>
        <v/>
      </c>
      <c r="T22" s="68" t="str">
        <f>IF(AND('Mapa final'!$Y$25="Alta",'Mapa final'!$AA$25="Menor"),CONCATENATE("R7C",'Mapa final'!$O$25),"")</f>
        <v/>
      </c>
      <c r="U22" s="69" t="str">
        <f>IF(AND('Mapa final'!$Y$26="Alta",'Mapa final'!$AA$26="Menor"),CONCATENATE("R7C",'Mapa final'!$O$26),"")</f>
        <v/>
      </c>
      <c r="V22" s="52" t="str">
        <f>IF(AND('Mapa final'!$Y$21="Alta",'Mapa final'!$AA$21="Moderado"),CONCATENATE("R7C",'Mapa final'!$O$21),"")</f>
        <v/>
      </c>
      <c r="W22" s="53" t="str">
        <f>IF(AND('Mapa final'!$Y$22="Alta",'Mapa final'!$AA$22="Moderado"),CONCATENATE("R7C",'Mapa final'!$O$22),"")</f>
        <v/>
      </c>
      <c r="X22" s="53" t="str">
        <f>IF(AND('Mapa final'!$Y$23="Alta",'Mapa final'!$AA$23="Moderado"),CONCATENATE("R7C",'Mapa final'!$O$23),"")</f>
        <v/>
      </c>
      <c r="Y22" s="53" t="str">
        <f>IF(AND('Mapa final'!$Y$24="Alta",'Mapa final'!$AA$24="Moderado"),CONCATENATE("R7C",'Mapa final'!$O$24),"")</f>
        <v/>
      </c>
      <c r="Z22" s="53" t="str">
        <f>IF(AND('Mapa final'!$Y$25="Alta",'Mapa final'!$AA$25="Moderado"),CONCATENATE("R7C",'Mapa final'!$O$25),"")</f>
        <v/>
      </c>
      <c r="AA22" s="54" t="str">
        <f>IF(AND('Mapa final'!$Y$26="Alta",'Mapa final'!$AA$26="Moderado"),CONCATENATE("R7C",'Mapa final'!$O$26),"")</f>
        <v/>
      </c>
      <c r="AB22" s="52" t="str">
        <f>IF(AND('Mapa final'!$Y$21="Alta",'Mapa final'!$AA$21="Mayor"),CONCATENATE("R7C",'Mapa final'!$O$21),"")</f>
        <v/>
      </c>
      <c r="AC22" s="53" t="str">
        <f>IF(AND('Mapa final'!$Y$22="Alta",'Mapa final'!$AA$22="Mayor"),CONCATENATE("R7C",'Mapa final'!$O$22),"")</f>
        <v/>
      </c>
      <c r="AD22" s="53" t="str">
        <f>IF(AND('Mapa final'!$Y$23="Alta",'Mapa final'!$AA$23="Mayor"),CONCATENATE("R7C",'Mapa final'!$O$23),"")</f>
        <v/>
      </c>
      <c r="AE22" s="53" t="str">
        <f>IF(AND('Mapa final'!$Y$24="Alta",'Mapa final'!$AA$24="Mayor"),CONCATENATE("R7C",'Mapa final'!$O$24),"")</f>
        <v/>
      </c>
      <c r="AF22" s="53" t="str">
        <f>IF(AND('Mapa final'!$Y$25="Alta",'Mapa final'!$AA$25="Mayor"),CONCATENATE("R7C",'Mapa final'!$O$25),"")</f>
        <v/>
      </c>
      <c r="AG22" s="54" t="str">
        <f>IF(AND('Mapa final'!$Y$26="Alta",'Mapa final'!$AA$26="Mayor"),CONCATENATE("R7C",'Mapa final'!$O$26),"")</f>
        <v/>
      </c>
      <c r="AH22" s="55" t="str">
        <f>IF(AND('Mapa final'!$Y$21="Alta",'Mapa final'!$AA$21="Catastrófico"),CONCATENATE("R7C",'Mapa final'!$O$21),"")</f>
        <v/>
      </c>
      <c r="AI22" s="56" t="str">
        <f>IF(AND('Mapa final'!$Y$22="Alta",'Mapa final'!$AA$22="Catastrófico"),CONCATENATE("R7C",'Mapa final'!$O$22),"")</f>
        <v/>
      </c>
      <c r="AJ22" s="56" t="str">
        <f>IF(AND('Mapa final'!$Y$23="Alta",'Mapa final'!$AA$23="Catastrófico"),CONCATENATE("R7C",'Mapa final'!$O$23),"")</f>
        <v/>
      </c>
      <c r="AK22" s="56" t="str">
        <f>IF(AND('Mapa final'!$Y$24="Alta",'Mapa final'!$AA$24="Catastrófico"),CONCATENATE("R7C",'Mapa final'!$O$24),"")</f>
        <v/>
      </c>
      <c r="AL22" s="56" t="str">
        <f>IF(AND('Mapa final'!$Y$25="Alta",'Mapa final'!$AA$25="Catastrófico"),CONCATENATE("R7C",'Mapa final'!$O$25),"")</f>
        <v/>
      </c>
      <c r="AM22" s="57" t="str">
        <f>IF(AND('Mapa final'!$Y$26="Alta",'Mapa final'!$AA$26="Catastrófico"),CONCATENATE("R7C",'Mapa final'!$O$26),"")</f>
        <v/>
      </c>
      <c r="AN22" s="83"/>
      <c r="AO22" s="342"/>
      <c r="AP22" s="343"/>
      <c r="AQ22" s="343"/>
      <c r="AR22" s="343"/>
      <c r="AS22" s="343"/>
      <c r="AT22" s="344"/>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53"/>
      <c r="C23" s="253"/>
      <c r="D23" s="254"/>
      <c r="E23" s="352"/>
      <c r="F23" s="351"/>
      <c r="G23" s="351"/>
      <c r="H23" s="351"/>
      <c r="I23" s="351"/>
      <c r="J23" s="67" t="str">
        <f>IF(AND('Mapa final'!$Y$27="Alta",'Mapa final'!$AA$27="Leve"),CONCATENATE("R8C",'Mapa final'!$O$27),"")</f>
        <v/>
      </c>
      <c r="K23" s="68" t="str">
        <f>IF(AND('Mapa final'!$Y$28="Alta",'Mapa final'!$AA$28="Leve"),CONCATENATE("R8C",'Mapa final'!$O$28),"")</f>
        <v/>
      </c>
      <c r="L23" s="68" t="str">
        <f>IF(AND('Mapa final'!$Y$29="Alta",'Mapa final'!$AA$29="Leve"),CONCATENATE("R8C",'Mapa final'!$O$29),"")</f>
        <v/>
      </c>
      <c r="M23" s="68" t="str">
        <f>IF(AND('Mapa final'!$Y$30="Alta",'Mapa final'!$AA$30="Leve"),CONCATENATE("R8C",'Mapa final'!$O$30),"")</f>
        <v/>
      </c>
      <c r="N23" s="68" t="str">
        <f>IF(AND('Mapa final'!$Y$31="Alta",'Mapa final'!$AA$31="Leve"),CONCATENATE("R8C",'Mapa final'!$O$31),"")</f>
        <v/>
      </c>
      <c r="O23" s="69" t="str">
        <f>IF(AND('Mapa final'!$Y$32="Alta",'Mapa final'!$AA$32="Leve"),CONCATENATE("R8C",'Mapa final'!$O$32),"")</f>
        <v/>
      </c>
      <c r="P23" s="67" t="str">
        <f>IF(AND('Mapa final'!$Y$27="Alta",'Mapa final'!$AA$27="Menor"),CONCATENATE("R8C",'Mapa final'!$O$27),"")</f>
        <v/>
      </c>
      <c r="Q23" s="68" t="str">
        <f>IF(AND('Mapa final'!$Y$28="Alta",'Mapa final'!$AA$28="Menor"),CONCATENATE("R8C",'Mapa final'!$O$28),"")</f>
        <v/>
      </c>
      <c r="R23" s="68" t="str">
        <f>IF(AND('Mapa final'!$Y$29="Alta",'Mapa final'!$AA$29="Menor"),CONCATENATE("R8C",'Mapa final'!$O$29),"")</f>
        <v/>
      </c>
      <c r="S23" s="68" t="str">
        <f>IF(AND('Mapa final'!$Y$30="Alta",'Mapa final'!$AA$30="Menor"),CONCATENATE("R8C",'Mapa final'!$O$30),"")</f>
        <v/>
      </c>
      <c r="T23" s="68" t="str">
        <f>IF(AND('Mapa final'!$Y$31="Alta",'Mapa final'!$AA$31="Menor"),CONCATENATE("R8C",'Mapa final'!$O$31),"")</f>
        <v/>
      </c>
      <c r="U23" s="69" t="str">
        <f>IF(AND('Mapa final'!$Y$32="Alta",'Mapa final'!$AA$32="Menor"),CONCATENATE("R8C",'Mapa final'!$O$32),"")</f>
        <v/>
      </c>
      <c r="V23" s="52" t="str">
        <f>IF(AND('Mapa final'!$Y$27="Alta",'Mapa final'!$AA$27="Moderado"),CONCATENATE("R8C",'Mapa final'!$O$27),"")</f>
        <v/>
      </c>
      <c r="W23" s="53" t="str">
        <f>IF(AND('Mapa final'!$Y$28="Alta",'Mapa final'!$AA$28="Moderado"),CONCATENATE("R8C",'Mapa final'!$O$28),"")</f>
        <v/>
      </c>
      <c r="X23" s="53" t="str">
        <f>IF(AND('Mapa final'!$Y$29="Alta",'Mapa final'!$AA$29="Moderado"),CONCATENATE("R8C",'Mapa final'!$O$29),"")</f>
        <v/>
      </c>
      <c r="Y23" s="53" t="str">
        <f>IF(AND('Mapa final'!$Y$30="Alta",'Mapa final'!$AA$30="Moderado"),CONCATENATE("R8C",'Mapa final'!$O$30),"")</f>
        <v/>
      </c>
      <c r="Z23" s="53" t="str">
        <f>IF(AND('Mapa final'!$Y$31="Alta",'Mapa final'!$AA$31="Moderado"),CONCATENATE("R8C",'Mapa final'!$O$31),"")</f>
        <v/>
      </c>
      <c r="AA23" s="54" t="str">
        <f>IF(AND('Mapa final'!$Y$32="Alta",'Mapa final'!$AA$32="Moderado"),CONCATENATE("R8C",'Mapa final'!$O$32),"")</f>
        <v/>
      </c>
      <c r="AB23" s="52" t="str">
        <f>IF(AND('Mapa final'!$Y$27="Alta",'Mapa final'!$AA$27="Mayor"),CONCATENATE("R8C",'Mapa final'!$O$27),"")</f>
        <v/>
      </c>
      <c r="AC23" s="53" t="str">
        <f>IF(AND('Mapa final'!$Y$28="Alta",'Mapa final'!$AA$28="Mayor"),CONCATENATE("R8C",'Mapa final'!$O$28),"")</f>
        <v/>
      </c>
      <c r="AD23" s="53" t="str">
        <f>IF(AND('Mapa final'!$Y$29="Alta",'Mapa final'!$AA$29="Mayor"),CONCATENATE("R8C",'Mapa final'!$O$29),"")</f>
        <v/>
      </c>
      <c r="AE23" s="53" t="str">
        <f>IF(AND('Mapa final'!$Y$30="Alta",'Mapa final'!$AA$30="Mayor"),CONCATENATE("R8C",'Mapa final'!$O$30),"")</f>
        <v/>
      </c>
      <c r="AF23" s="53" t="str">
        <f>IF(AND('Mapa final'!$Y$31="Alta",'Mapa final'!$AA$31="Mayor"),CONCATENATE("R8C",'Mapa final'!$O$31),"")</f>
        <v/>
      </c>
      <c r="AG23" s="54" t="str">
        <f>IF(AND('Mapa final'!$Y$32="Alta",'Mapa final'!$AA$32="Mayor"),CONCATENATE("R8C",'Mapa final'!$O$32),"")</f>
        <v/>
      </c>
      <c r="AH23" s="55" t="str">
        <f>IF(AND('Mapa final'!$Y$27="Alta",'Mapa final'!$AA$27="Catastrófico"),CONCATENATE("R8C",'Mapa final'!$O$27),"")</f>
        <v/>
      </c>
      <c r="AI23" s="56" t="str">
        <f>IF(AND('Mapa final'!$Y$28="Alta",'Mapa final'!$AA$28="Catastrófico"),CONCATENATE("R8C",'Mapa final'!$O$28),"")</f>
        <v/>
      </c>
      <c r="AJ23" s="56" t="str">
        <f>IF(AND('Mapa final'!$Y$29="Alta",'Mapa final'!$AA$29="Catastrófico"),CONCATENATE("R8C",'Mapa final'!$O$29),"")</f>
        <v/>
      </c>
      <c r="AK23" s="56" t="str">
        <f>IF(AND('Mapa final'!$Y$30="Alta",'Mapa final'!$AA$30="Catastrófico"),CONCATENATE("R8C",'Mapa final'!$O$30),"")</f>
        <v/>
      </c>
      <c r="AL23" s="56" t="str">
        <f>IF(AND('Mapa final'!$Y$31="Alta",'Mapa final'!$AA$31="Catastrófico"),CONCATENATE("R8C",'Mapa final'!$O$31),"")</f>
        <v/>
      </c>
      <c r="AM23" s="57" t="str">
        <f>IF(AND('Mapa final'!$Y$32="Alta",'Mapa final'!$AA$32="Catastrófico"),CONCATENATE("R8C",'Mapa final'!$O$32),"")</f>
        <v/>
      </c>
      <c r="AN23" s="83"/>
      <c r="AO23" s="342"/>
      <c r="AP23" s="343"/>
      <c r="AQ23" s="343"/>
      <c r="AR23" s="343"/>
      <c r="AS23" s="343"/>
      <c r="AT23" s="34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53"/>
      <c r="C24" s="253"/>
      <c r="D24" s="254"/>
      <c r="E24" s="352"/>
      <c r="F24" s="351"/>
      <c r="G24" s="351"/>
      <c r="H24" s="351"/>
      <c r="I24" s="351"/>
      <c r="J24" s="67" t="str">
        <f>IF(AND('Mapa final'!$Y$33="Alta",'Mapa final'!$AA$33="Leve"),CONCATENATE("R9C",'Mapa final'!$O$33),"")</f>
        <v/>
      </c>
      <c r="K24" s="68" t="str">
        <f>IF(AND('Mapa final'!$Y$34="Alta",'Mapa final'!$AA$34="Leve"),CONCATENATE("R9C",'Mapa final'!$O$34),"")</f>
        <v/>
      </c>
      <c r="L24" s="68" t="str">
        <f>IF(AND('Mapa final'!$Y$35="Alta",'Mapa final'!$AA$35="Leve"),CONCATENATE("R9C",'Mapa final'!$O$35),"")</f>
        <v/>
      </c>
      <c r="M24" s="68" t="str">
        <f>IF(AND('Mapa final'!$Y$36="Alta",'Mapa final'!$AA$36="Leve"),CONCATENATE("R9C",'Mapa final'!$O$36),"")</f>
        <v/>
      </c>
      <c r="N24" s="68" t="str">
        <f>IF(AND('Mapa final'!$Y$37="Alta",'Mapa final'!$AA$37="Leve"),CONCATENATE("R9C",'Mapa final'!$O$37),"")</f>
        <v/>
      </c>
      <c r="O24" s="69" t="str">
        <f>IF(AND('Mapa final'!$Y$38="Alta",'Mapa final'!$AA$38="Leve"),CONCATENATE("R9C",'Mapa final'!$O$38),"")</f>
        <v/>
      </c>
      <c r="P24" s="67" t="str">
        <f>IF(AND('Mapa final'!$Y$33="Alta",'Mapa final'!$AA$33="Menor"),CONCATENATE("R9C",'Mapa final'!$O$33),"")</f>
        <v/>
      </c>
      <c r="Q24" s="68" t="str">
        <f>IF(AND('Mapa final'!$Y$34="Alta",'Mapa final'!$AA$34="Menor"),CONCATENATE("R9C",'Mapa final'!$O$34),"")</f>
        <v/>
      </c>
      <c r="R24" s="68" t="str">
        <f>IF(AND('Mapa final'!$Y$35="Alta",'Mapa final'!$AA$35="Menor"),CONCATENATE("R9C",'Mapa final'!$O$35),"")</f>
        <v/>
      </c>
      <c r="S24" s="68" t="str">
        <f>IF(AND('Mapa final'!$Y$36="Alta",'Mapa final'!$AA$36="Menor"),CONCATENATE("R9C",'Mapa final'!$O$36),"")</f>
        <v/>
      </c>
      <c r="T24" s="68" t="str">
        <f>IF(AND('Mapa final'!$Y$37="Alta",'Mapa final'!$AA$37="Menor"),CONCATENATE("R9C",'Mapa final'!$O$37),"")</f>
        <v/>
      </c>
      <c r="U24" s="69" t="str">
        <f>IF(AND('Mapa final'!$Y$38="Alta",'Mapa final'!$AA$38="Menor"),CONCATENATE("R9C",'Mapa final'!$O$38),"")</f>
        <v/>
      </c>
      <c r="V24" s="52" t="str">
        <f>IF(AND('Mapa final'!$Y$33="Alta",'Mapa final'!$AA$33="Moderado"),CONCATENATE("R9C",'Mapa final'!$O$33),"")</f>
        <v/>
      </c>
      <c r="W24" s="53" t="str">
        <f>IF(AND('Mapa final'!$Y$34="Alta",'Mapa final'!$AA$34="Moderado"),CONCATENATE("R9C",'Mapa final'!$O$34),"")</f>
        <v/>
      </c>
      <c r="X24" s="53" t="str">
        <f>IF(AND('Mapa final'!$Y$35="Alta",'Mapa final'!$AA$35="Moderado"),CONCATENATE("R9C",'Mapa final'!$O$35),"")</f>
        <v/>
      </c>
      <c r="Y24" s="53" t="str">
        <f>IF(AND('Mapa final'!$Y$36="Alta",'Mapa final'!$AA$36="Moderado"),CONCATENATE("R9C",'Mapa final'!$O$36),"")</f>
        <v/>
      </c>
      <c r="Z24" s="53" t="str">
        <f>IF(AND('Mapa final'!$Y$37="Alta",'Mapa final'!$AA$37="Moderado"),CONCATENATE("R9C",'Mapa final'!$O$37),"")</f>
        <v/>
      </c>
      <c r="AA24" s="54" t="str">
        <f>IF(AND('Mapa final'!$Y$38="Alta",'Mapa final'!$AA$38="Moderado"),CONCATENATE("R9C",'Mapa final'!$O$38),"")</f>
        <v/>
      </c>
      <c r="AB24" s="52" t="str">
        <f>IF(AND('Mapa final'!$Y$33="Alta",'Mapa final'!$AA$33="Mayor"),CONCATENATE("R9C",'Mapa final'!$O$33),"")</f>
        <v/>
      </c>
      <c r="AC24" s="53" t="str">
        <f>IF(AND('Mapa final'!$Y$34="Alta",'Mapa final'!$AA$34="Mayor"),CONCATENATE("R9C",'Mapa final'!$O$34),"")</f>
        <v/>
      </c>
      <c r="AD24" s="53" t="str">
        <f>IF(AND('Mapa final'!$Y$35="Alta",'Mapa final'!$AA$35="Mayor"),CONCATENATE("R9C",'Mapa final'!$O$35),"")</f>
        <v/>
      </c>
      <c r="AE24" s="53" t="str">
        <f>IF(AND('Mapa final'!$Y$36="Alta",'Mapa final'!$AA$36="Mayor"),CONCATENATE("R9C",'Mapa final'!$O$36),"")</f>
        <v/>
      </c>
      <c r="AF24" s="53" t="str">
        <f>IF(AND('Mapa final'!$Y$37="Alta",'Mapa final'!$AA$37="Mayor"),CONCATENATE("R9C",'Mapa final'!$O$37),"")</f>
        <v/>
      </c>
      <c r="AG24" s="54" t="str">
        <f>IF(AND('Mapa final'!$Y$38="Alta",'Mapa final'!$AA$38="Mayor"),CONCATENATE("R9C",'Mapa final'!$O$38),"")</f>
        <v/>
      </c>
      <c r="AH24" s="55" t="str">
        <f>IF(AND('Mapa final'!$Y$33="Alta",'Mapa final'!$AA$33="Catastrófico"),CONCATENATE("R9C",'Mapa final'!$O$33),"")</f>
        <v/>
      </c>
      <c r="AI24" s="56" t="str">
        <f>IF(AND('Mapa final'!$Y$34="Alta",'Mapa final'!$AA$34="Catastrófico"),CONCATENATE("R9C",'Mapa final'!$O$34),"")</f>
        <v/>
      </c>
      <c r="AJ24" s="56" t="str">
        <f>IF(AND('Mapa final'!$Y$35="Alta",'Mapa final'!$AA$35="Catastrófico"),CONCATENATE("R9C",'Mapa final'!$O$35),"")</f>
        <v/>
      </c>
      <c r="AK24" s="56" t="str">
        <f>IF(AND('Mapa final'!$Y$36="Alta",'Mapa final'!$AA$36="Catastrófico"),CONCATENATE("R9C",'Mapa final'!$O$36),"")</f>
        <v/>
      </c>
      <c r="AL24" s="56" t="str">
        <f>IF(AND('Mapa final'!$Y$37="Alta",'Mapa final'!$AA$37="Catastrófico"),CONCATENATE("R9C",'Mapa final'!$O$37),"")</f>
        <v/>
      </c>
      <c r="AM24" s="57" t="str">
        <f>IF(AND('Mapa final'!$Y$38="Alta",'Mapa final'!$AA$38="Catastrófico"),CONCATENATE("R9C",'Mapa final'!$O$38),"")</f>
        <v/>
      </c>
      <c r="AN24" s="83"/>
      <c r="AO24" s="342"/>
      <c r="AP24" s="343"/>
      <c r="AQ24" s="343"/>
      <c r="AR24" s="343"/>
      <c r="AS24" s="343"/>
      <c r="AT24" s="34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53"/>
      <c r="C25" s="253"/>
      <c r="D25" s="254"/>
      <c r="E25" s="353"/>
      <c r="F25" s="354"/>
      <c r="G25" s="354"/>
      <c r="H25" s="354"/>
      <c r="I25" s="354"/>
      <c r="J25" s="70" t="str">
        <f>IF(AND('Mapa final'!$Y$39="Alta",'Mapa final'!$AA$39="Leve"),CONCATENATE("R10C",'Mapa final'!$O$39),"")</f>
        <v/>
      </c>
      <c r="K25" s="71" t="str">
        <f>IF(AND('Mapa final'!$Y$40="Alta",'Mapa final'!$AA$40="Leve"),CONCATENATE("R10C",'Mapa final'!$O$40),"")</f>
        <v/>
      </c>
      <c r="L25" s="71" t="str">
        <f>IF(AND('Mapa final'!$Y$41="Alta",'Mapa final'!$AA$41="Leve"),CONCATENATE("R10C",'Mapa final'!$O$41),"")</f>
        <v/>
      </c>
      <c r="M25" s="71" t="str">
        <f>IF(AND('Mapa final'!$Y$42="Alta",'Mapa final'!$AA$42="Leve"),CONCATENATE("R10C",'Mapa final'!$O$42),"")</f>
        <v/>
      </c>
      <c r="N25" s="71" t="str">
        <f>IF(AND('Mapa final'!$Y$43="Alta",'Mapa final'!$AA$43="Leve"),CONCATENATE("R10C",'Mapa final'!$O$43),"")</f>
        <v/>
      </c>
      <c r="O25" s="72" t="str">
        <f>IF(AND('Mapa final'!$Y$44="Alta",'Mapa final'!$AA$44="Leve"),CONCATENATE("R10C",'Mapa final'!$O$44),"")</f>
        <v/>
      </c>
      <c r="P25" s="70" t="str">
        <f>IF(AND('Mapa final'!$Y$39="Alta",'Mapa final'!$AA$39="Menor"),CONCATENATE("R10C",'Mapa final'!$O$39),"")</f>
        <v/>
      </c>
      <c r="Q25" s="71" t="str">
        <f>IF(AND('Mapa final'!$Y$40="Alta",'Mapa final'!$AA$40="Menor"),CONCATENATE("R10C",'Mapa final'!$O$40),"")</f>
        <v/>
      </c>
      <c r="R25" s="71" t="str">
        <f>IF(AND('Mapa final'!$Y$41="Alta",'Mapa final'!$AA$41="Menor"),CONCATENATE("R10C",'Mapa final'!$O$41),"")</f>
        <v/>
      </c>
      <c r="S25" s="71" t="str">
        <f>IF(AND('Mapa final'!$Y$42="Alta",'Mapa final'!$AA$42="Menor"),CONCATENATE("R10C",'Mapa final'!$O$42),"")</f>
        <v/>
      </c>
      <c r="T25" s="71" t="str">
        <f>IF(AND('Mapa final'!$Y$43="Alta",'Mapa final'!$AA$43="Menor"),CONCATENATE("R10C",'Mapa final'!$O$43),"")</f>
        <v/>
      </c>
      <c r="U25" s="72" t="str">
        <f>IF(AND('Mapa final'!$Y$44="Alta",'Mapa final'!$AA$44="Menor"),CONCATENATE("R10C",'Mapa final'!$O$44),"")</f>
        <v/>
      </c>
      <c r="V25" s="58" t="str">
        <f>IF(AND('Mapa final'!$Y$39="Alta",'Mapa final'!$AA$39="Moderado"),CONCATENATE("R10C",'Mapa final'!$O$39),"")</f>
        <v/>
      </c>
      <c r="W25" s="59" t="str">
        <f>IF(AND('Mapa final'!$Y$40="Alta",'Mapa final'!$AA$40="Moderado"),CONCATENATE("R10C",'Mapa final'!$O$40),"")</f>
        <v/>
      </c>
      <c r="X25" s="59" t="str">
        <f>IF(AND('Mapa final'!$Y$41="Alta",'Mapa final'!$AA$41="Moderado"),CONCATENATE("R10C",'Mapa final'!$O$41),"")</f>
        <v/>
      </c>
      <c r="Y25" s="59" t="str">
        <f>IF(AND('Mapa final'!$Y$42="Alta",'Mapa final'!$AA$42="Moderado"),CONCATENATE("R10C",'Mapa final'!$O$42),"")</f>
        <v/>
      </c>
      <c r="Z25" s="59" t="str">
        <f>IF(AND('Mapa final'!$Y$43="Alta",'Mapa final'!$AA$43="Moderado"),CONCATENATE("R10C",'Mapa final'!$O$43),"")</f>
        <v/>
      </c>
      <c r="AA25" s="60" t="str">
        <f>IF(AND('Mapa final'!$Y$44="Alta",'Mapa final'!$AA$44="Moderado"),CONCATENATE("R10C",'Mapa final'!$O$44),"")</f>
        <v/>
      </c>
      <c r="AB25" s="58" t="str">
        <f>IF(AND('Mapa final'!$Y$39="Alta",'Mapa final'!$AA$39="Mayor"),CONCATENATE("R10C",'Mapa final'!$O$39),"")</f>
        <v/>
      </c>
      <c r="AC25" s="59" t="str">
        <f>IF(AND('Mapa final'!$Y$40="Alta",'Mapa final'!$AA$40="Mayor"),CONCATENATE("R10C",'Mapa final'!$O$40),"")</f>
        <v/>
      </c>
      <c r="AD25" s="59" t="str">
        <f>IF(AND('Mapa final'!$Y$41="Alta",'Mapa final'!$AA$41="Mayor"),CONCATENATE("R10C",'Mapa final'!$O$41),"")</f>
        <v/>
      </c>
      <c r="AE25" s="59" t="str">
        <f>IF(AND('Mapa final'!$Y$42="Alta",'Mapa final'!$AA$42="Mayor"),CONCATENATE("R10C",'Mapa final'!$O$42),"")</f>
        <v/>
      </c>
      <c r="AF25" s="59" t="str">
        <f>IF(AND('Mapa final'!$Y$43="Alta",'Mapa final'!$AA$43="Mayor"),CONCATENATE("R10C",'Mapa final'!$O$43),"")</f>
        <v/>
      </c>
      <c r="AG25" s="60" t="str">
        <f>IF(AND('Mapa final'!$Y$44="Alta",'Mapa final'!$AA$44="Mayor"),CONCATENATE("R10C",'Mapa final'!$O$44),"")</f>
        <v/>
      </c>
      <c r="AH25" s="61" t="str">
        <f>IF(AND('Mapa final'!$Y$39="Alta",'Mapa final'!$AA$39="Catastrófico"),CONCATENATE("R10C",'Mapa final'!$O$39),"")</f>
        <v/>
      </c>
      <c r="AI25" s="62" t="str">
        <f>IF(AND('Mapa final'!$Y$40="Alta",'Mapa final'!$AA$40="Catastrófico"),CONCATENATE("R10C",'Mapa final'!$O$40),"")</f>
        <v/>
      </c>
      <c r="AJ25" s="62" t="str">
        <f>IF(AND('Mapa final'!$Y$41="Alta",'Mapa final'!$AA$41="Catastrófico"),CONCATENATE("R10C",'Mapa final'!$O$41),"")</f>
        <v/>
      </c>
      <c r="AK25" s="62" t="str">
        <f>IF(AND('Mapa final'!$Y$42="Alta",'Mapa final'!$AA$42="Catastrófico"),CONCATENATE("R10C",'Mapa final'!$O$42),"")</f>
        <v/>
      </c>
      <c r="AL25" s="62" t="str">
        <f>IF(AND('Mapa final'!$Y$43="Alta",'Mapa final'!$AA$43="Catastrófico"),CONCATENATE("R10C",'Mapa final'!$O$43),"")</f>
        <v/>
      </c>
      <c r="AM25" s="63" t="str">
        <f>IF(AND('Mapa final'!$Y$44="Alta",'Mapa final'!$AA$44="Catastrófico"),CONCATENATE("R10C",'Mapa final'!$O$44),"")</f>
        <v/>
      </c>
      <c r="AN25" s="83"/>
      <c r="AO25" s="345"/>
      <c r="AP25" s="346"/>
      <c r="AQ25" s="346"/>
      <c r="AR25" s="346"/>
      <c r="AS25" s="346"/>
      <c r="AT25" s="347"/>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53"/>
      <c r="C26" s="253"/>
      <c r="D26" s="254"/>
      <c r="E26" s="348" t="s">
        <v>117</v>
      </c>
      <c r="F26" s="349"/>
      <c r="G26" s="349"/>
      <c r="H26" s="349"/>
      <c r="I26" s="366"/>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R1C1</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8" t="s">
        <v>81</v>
      </c>
      <c r="AP26" s="379"/>
      <c r="AQ26" s="379"/>
      <c r="AR26" s="379"/>
      <c r="AS26" s="379"/>
      <c r="AT26" s="38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53"/>
      <c r="C27" s="253"/>
      <c r="D27" s="254"/>
      <c r="E27" s="350"/>
      <c r="F27" s="351"/>
      <c r="G27" s="351"/>
      <c r="H27" s="351"/>
      <c r="I27" s="367"/>
      <c r="J27" s="67" t="str">
        <f>IF(AND('Mapa final'!$Y$11="Media",'Mapa final'!$AA$11="Leve"),CONCATENATE("R2C",'Mapa final'!$O$11),"")</f>
        <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str">
        <f>IF(AND('Mapa final'!$Y$11="Media",'Mapa final'!$AA$11="Menor"),CONCATENATE("R2C",'Mapa final'!$O$11),"")</f>
        <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str">
        <f>IF(AND('Mapa final'!$Y$11="Media",'Mapa final'!$AA$11="Moderado"),CONCATENATE("R2C",'Mapa final'!$O$11),"")</f>
        <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str">
        <f>IF(AND('Mapa final'!$Y$11="Media",'Mapa final'!$AA$11="Mayor"),CONCATENATE("R2C",'Mapa final'!$O$11),"")</f>
        <v>R2C1</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81"/>
      <c r="AP27" s="382"/>
      <c r="AQ27" s="382"/>
      <c r="AR27" s="382"/>
      <c r="AS27" s="382"/>
      <c r="AT27" s="3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53"/>
      <c r="C28" s="253"/>
      <c r="D28" s="254"/>
      <c r="E28" s="352"/>
      <c r="F28" s="351"/>
      <c r="G28" s="351"/>
      <c r="H28" s="351"/>
      <c r="I28" s="367"/>
      <c r="J28" s="67" t="str">
        <f>IF(AND('Mapa final'!$Y$12="Media",'Mapa final'!$AA$12="Leve"),CONCATENATE("R3C",'Mapa final'!$O$12),"")</f>
        <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final'!$Y$12="Media",'Mapa final'!$AA$12="Menor"),CONCATENATE("R3C",'Mapa final'!$O$12),"")</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final'!$Y$12="Media",'Mapa final'!$AA$12="Moderado"),CONCATENATE("R3C",'Mapa final'!$O$12),"")</f>
        <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final'!$Y$12="Media",'Mapa final'!$AA$12="Mayor"),CONCATENATE("R3C",'Mapa final'!$O$12),"")</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81"/>
      <c r="AP28" s="382"/>
      <c r="AQ28" s="382"/>
      <c r="AR28" s="382"/>
      <c r="AS28" s="382"/>
      <c r="AT28" s="3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53"/>
      <c r="C29" s="253"/>
      <c r="D29" s="254"/>
      <c r="E29" s="352"/>
      <c r="F29" s="351"/>
      <c r="G29" s="351"/>
      <c r="H29" s="351"/>
      <c r="I29" s="367"/>
      <c r="J29" s="67" t="str">
        <f>IF(AND('Mapa final'!$Y$13="Media",'Mapa final'!$AA$13="Leve"),CONCATENATE("R4C",'Mapa final'!$O$13),"")</f>
        <v/>
      </c>
      <c r="K29" s="68" t="e">
        <f>IF(AND('Mapa final'!#REF!="Media",'Mapa final'!#REF!="Leve"),CONCATENATE("R4C",'Mapa final'!#REF!),"")</f>
        <v>#REF!</v>
      </c>
      <c r="L29" s="68" t="e">
        <f>IF(AND('Mapa final'!#REF!="Media",'Mapa final'!#REF!="Leve"),CONCATENATE("R4C",'Mapa final'!#REF!),"")</f>
        <v>#REF!</v>
      </c>
      <c r="M29" s="68" t="e">
        <f>IF(AND('Mapa final'!#REF!="Media",'Mapa final'!#REF!="Leve"),CONCATENATE("R4C",'Mapa final'!#REF!),"")</f>
        <v>#REF!</v>
      </c>
      <c r="N29" s="68" t="e">
        <f>IF(AND('Mapa final'!#REF!="Media",'Mapa final'!#REF!="Leve"),CONCATENATE("R4C",'Mapa final'!#REF!),"")</f>
        <v>#REF!</v>
      </c>
      <c r="O29" s="69" t="e">
        <f>IF(AND('Mapa final'!#REF!="Media",'Mapa final'!#REF!="Leve"),CONCATENATE("R4C",'Mapa final'!#REF!),"")</f>
        <v>#REF!</v>
      </c>
      <c r="P29" s="67" t="str">
        <f>IF(AND('Mapa final'!$Y$13="Media",'Mapa final'!$AA$13="Menor"),CONCATENATE("R4C",'Mapa final'!$O$13),"")</f>
        <v/>
      </c>
      <c r="Q29" s="68" t="e">
        <f>IF(AND('Mapa final'!#REF!="Media",'Mapa final'!#REF!="Menor"),CONCATENATE("R4C",'Mapa final'!#REF!),"")</f>
        <v>#REF!</v>
      </c>
      <c r="R29" s="68" t="e">
        <f>IF(AND('Mapa final'!#REF!="Media",'Mapa final'!#REF!="Menor"),CONCATENATE("R4C",'Mapa final'!#REF!),"")</f>
        <v>#REF!</v>
      </c>
      <c r="S29" s="68" t="e">
        <f>IF(AND('Mapa final'!#REF!="Media",'Mapa final'!#REF!="Menor"),CONCATENATE("R4C",'Mapa final'!#REF!),"")</f>
        <v>#REF!</v>
      </c>
      <c r="T29" s="68" t="e">
        <f>IF(AND('Mapa final'!#REF!="Media",'Mapa final'!#REF!="Menor"),CONCATENATE("R4C",'Mapa final'!#REF!),"")</f>
        <v>#REF!</v>
      </c>
      <c r="U29" s="69" t="e">
        <f>IF(AND('Mapa final'!#REF!="Media",'Mapa final'!#REF!="Menor"),CONCATENATE("R4C",'Mapa final'!#REF!),"")</f>
        <v>#REF!</v>
      </c>
      <c r="V29" s="67" t="str">
        <f>IF(AND('Mapa final'!$Y$13="Media",'Mapa final'!$AA$13="Moderado"),CONCATENATE("R4C",'Mapa final'!$O$13),"")</f>
        <v>R4C1</v>
      </c>
      <c r="W29" s="68" t="e">
        <f>IF(AND('Mapa final'!#REF!="Media",'Mapa final'!#REF!="Moderado"),CONCATENATE("R4C",'Mapa final'!#REF!),"")</f>
        <v>#REF!</v>
      </c>
      <c r="X29" s="68" t="e">
        <f>IF(AND('Mapa final'!#REF!="Media",'Mapa final'!#REF!="Moderado"),CONCATENATE("R4C",'Mapa final'!#REF!),"")</f>
        <v>#REF!</v>
      </c>
      <c r="Y29" s="68" t="e">
        <f>IF(AND('Mapa final'!#REF!="Media",'Mapa final'!#REF!="Moderado"),CONCATENATE("R4C",'Mapa final'!#REF!),"")</f>
        <v>#REF!</v>
      </c>
      <c r="Z29" s="68" t="e">
        <f>IF(AND('Mapa final'!#REF!="Media",'Mapa final'!#REF!="Moderado"),CONCATENATE("R4C",'Mapa final'!#REF!),"")</f>
        <v>#REF!</v>
      </c>
      <c r="AA29" s="69" t="e">
        <f>IF(AND('Mapa final'!#REF!="Media",'Mapa final'!#REF!="Moderado"),CONCATENATE("R4C",'Mapa final'!#REF!),"")</f>
        <v>#REF!</v>
      </c>
      <c r="AB29" s="52" t="str">
        <f>IF(AND('Mapa final'!$Y$13="Media",'Mapa final'!$AA$13="Mayor"),CONCATENATE("R4C",'Mapa final'!$O$13),"")</f>
        <v/>
      </c>
      <c r="AC29" s="53" t="e">
        <f>IF(AND('Mapa final'!#REF!="Media",'Mapa final'!#REF!="Mayor"),CONCATENATE("R4C",'Mapa final'!#REF!),"")</f>
        <v>#REF!</v>
      </c>
      <c r="AD29" s="53" t="e">
        <f>IF(AND('Mapa final'!#REF!="Media",'Mapa final'!#REF!="Mayor"),CONCATENATE("R4C",'Mapa final'!#REF!),"")</f>
        <v>#REF!</v>
      </c>
      <c r="AE29" s="53" t="e">
        <f>IF(AND('Mapa final'!#REF!="Media",'Mapa final'!#REF!="Mayor"),CONCATENATE("R4C",'Mapa final'!#REF!),"")</f>
        <v>#REF!</v>
      </c>
      <c r="AF29" s="53" t="e">
        <f>IF(AND('Mapa final'!#REF!="Media",'Mapa final'!#REF!="Mayor"),CONCATENATE("R4C",'Mapa final'!#REF!),"")</f>
        <v>#REF!</v>
      </c>
      <c r="AG29" s="54" t="e">
        <f>IF(AND('Mapa final'!#REF!="Media",'Mapa final'!#REF!="Mayor"),CONCATENATE("R4C",'Mapa final'!#REF!),"")</f>
        <v>#REF!</v>
      </c>
      <c r="AH29" s="55" t="str">
        <f>IF(AND('Mapa final'!$Y$13="Media",'Mapa final'!$AA$13="Catastrófico"),CONCATENATE("R4C",'Mapa final'!$O$13),"")</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3"/>
      <c r="AO29" s="381"/>
      <c r="AP29" s="382"/>
      <c r="AQ29" s="382"/>
      <c r="AR29" s="382"/>
      <c r="AS29" s="382"/>
      <c r="AT29" s="3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53"/>
      <c r="C30" s="253"/>
      <c r="D30" s="254"/>
      <c r="E30" s="352"/>
      <c r="F30" s="351"/>
      <c r="G30" s="351"/>
      <c r="H30" s="351"/>
      <c r="I30" s="367"/>
      <c r="J30" s="67" t="str">
        <f>IF(AND('Mapa final'!$Y$14="Media",'Mapa final'!$AA$14="Leve"),CONCATENATE("R5C",'Mapa final'!$O$14),"")</f>
        <v/>
      </c>
      <c r="K30" s="68" t="e">
        <f>IF(AND('Mapa final'!#REF!="Media",'Mapa final'!#REF!="Leve"),CONCATENATE("R5C",'Mapa final'!#REF!),"")</f>
        <v>#REF!</v>
      </c>
      <c r="L30" s="68" t="e">
        <f>IF(AND('Mapa final'!#REF!="Media",'Mapa final'!#REF!="Leve"),CONCATENATE("R5C",'Mapa final'!#REF!),"")</f>
        <v>#REF!</v>
      </c>
      <c r="M30" s="68" t="e">
        <f>IF(AND('Mapa final'!#REF!="Media",'Mapa final'!#REF!="Leve"),CONCATENATE("R5C",'Mapa final'!#REF!),"")</f>
        <v>#REF!</v>
      </c>
      <c r="N30" s="68" t="e">
        <f>IF(AND('Mapa final'!#REF!="Media",'Mapa final'!#REF!="Leve"),CONCATENATE("R5C",'Mapa final'!#REF!),"")</f>
        <v>#REF!</v>
      </c>
      <c r="O30" s="69" t="e">
        <f>IF(AND('Mapa final'!#REF!="Media",'Mapa final'!#REF!="Leve"),CONCATENATE("R5C",'Mapa final'!#REF!),"")</f>
        <v>#REF!</v>
      </c>
      <c r="P30" s="67" t="str">
        <f>IF(AND('Mapa final'!$Y$14="Media",'Mapa final'!$AA$14="Menor"),CONCATENATE("R5C",'Mapa final'!$O$14),"")</f>
        <v/>
      </c>
      <c r="Q30" s="68" t="e">
        <f>IF(AND('Mapa final'!#REF!="Media",'Mapa final'!#REF!="Menor"),CONCATENATE("R5C",'Mapa final'!#REF!),"")</f>
        <v>#REF!</v>
      </c>
      <c r="R30" s="68" t="e">
        <f>IF(AND('Mapa final'!#REF!="Media",'Mapa final'!#REF!="Menor"),CONCATENATE("R5C",'Mapa final'!#REF!),"")</f>
        <v>#REF!</v>
      </c>
      <c r="S30" s="68" t="e">
        <f>IF(AND('Mapa final'!#REF!="Media",'Mapa final'!#REF!="Menor"),CONCATENATE("R5C",'Mapa final'!#REF!),"")</f>
        <v>#REF!</v>
      </c>
      <c r="T30" s="68" t="e">
        <f>IF(AND('Mapa final'!#REF!="Media",'Mapa final'!#REF!="Menor"),CONCATENATE("R5C",'Mapa final'!#REF!),"")</f>
        <v>#REF!</v>
      </c>
      <c r="U30" s="69" t="e">
        <f>IF(AND('Mapa final'!#REF!="Media",'Mapa final'!#REF!="Menor"),CONCATENATE("R5C",'Mapa final'!#REF!),"")</f>
        <v>#REF!</v>
      </c>
      <c r="V30" s="67" t="str">
        <f>IF(AND('Mapa final'!$Y$14="Media",'Mapa final'!$AA$14="Moderado"),CONCATENATE("R5C",'Mapa final'!$O$14),"")</f>
        <v/>
      </c>
      <c r="W30" s="68" t="e">
        <f>IF(AND('Mapa final'!#REF!="Media",'Mapa final'!#REF!="Moderado"),CONCATENATE("R5C",'Mapa final'!#REF!),"")</f>
        <v>#REF!</v>
      </c>
      <c r="X30" s="68" t="e">
        <f>IF(AND('Mapa final'!#REF!="Media",'Mapa final'!#REF!="Moderado"),CONCATENATE("R5C",'Mapa final'!#REF!),"")</f>
        <v>#REF!</v>
      </c>
      <c r="Y30" s="68" t="e">
        <f>IF(AND('Mapa final'!#REF!="Media",'Mapa final'!#REF!="Moderado"),CONCATENATE("R5C",'Mapa final'!#REF!),"")</f>
        <v>#REF!</v>
      </c>
      <c r="Z30" s="68" t="e">
        <f>IF(AND('Mapa final'!#REF!="Media",'Mapa final'!#REF!="Moderado"),CONCATENATE("R5C",'Mapa final'!#REF!),"")</f>
        <v>#REF!</v>
      </c>
      <c r="AA30" s="69" t="e">
        <f>IF(AND('Mapa final'!#REF!="Media",'Mapa final'!#REF!="Moderado"),CONCATENATE("R5C",'Mapa final'!#REF!),"")</f>
        <v>#REF!</v>
      </c>
      <c r="AB30" s="52" t="str">
        <f>IF(AND('Mapa final'!$Y$14="Media",'Mapa final'!$AA$14="Mayor"),CONCATENATE("R5C",'Mapa final'!$O$14),"")</f>
        <v>R5C1</v>
      </c>
      <c r="AC30" s="53" t="e">
        <f>IF(AND('Mapa final'!#REF!="Media",'Mapa final'!#REF!="Mayor"),CONCATENATE("R5C",'Mapa final'!#REF!),"")</f>
        <v>#REF!</v>
      </c>
      <c r="AD30" s="53" t="e">
        <f>IF(AND('Mapa final'!#REF!="Media",'Mapa final'!#REF!="Mayor"),CONCATENATE("R5C",'Mapa final'!#REF!),"")</f>
        <v>#REF!</v>
      </c>
      <c r="AE30" s="53" t="e">
        <f>IF(AND('Mapa final'!#REF!="Media",'Mapa final'!#REF!="Mayor"),CONCATENATE("R5C",'Mapa final'!#REF!),"")</f>
        <v>#REF!</v>
      </c>
      <c r="AF30" s="53" t="e">
        <f>IF(AND('Mapa final'!#REF!="Media",'Mapa final'!#REF!="Mayor"),CONCATENATE("R5C",'Mapa final'!#REF!),"")</f>
        <v>#REF!</v>
      </c>
      <c r="AG30" s="54" t="e">
        <f>IF(AND('Mapa final'!#REF!="Media",'Mapa final'!#REF!="Mayor"),CONCATENATE("R5C",'Mapa final'!#REF!),"")</f>
        <v>#REF!</v>
      </c>
      <c r="AH30" s="55" t="str">
        <f>IF(AND('Mapa final'!$Y$14="Media",'Mapa final'!$AA$14="Catastrófico"),CONCATENATE("R5C",'Mapa final'!$O$14),"")</f>
        <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3"/>
      <c r="AO30" s="381"/>
      <c r="AP30" s="382"/>
      <c r="AQ30" s="382"/>
      <c r="AR30" s="382"/>
      <c r="AS30" s="382"/>
      <c r="AT30" s="3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53"/>
      <c r="C31" s="253"/>
      <c r="D31" s="254"/>
      <c r="E31" s="352"/>
      <c r="F31" s="351"/>
      <c r="G31" s="351"/>
      <c r="H31" s="351"/>
      <c r="I31" s="367"/>
      <c r="J31" s="67" t="str">
        <f>IF(AND('Mapa final'!$Y$15="Media",'Mapa final'!$AA$15="Leve"),CONCATENATE("R6C",'Mapa final'!$O$15),"")</f>
        <v/>
      </c>
      <c r="K31" s="68" t="str">
        <f>IF(AND('Mapa final'!$Y$16="Media",'Mapa final'!$AA$16="Leve"),CONCATENATE("R6C",'Mapa final'!$O$16),"")</f>
        <v/>
      </c>
      <c r="L31" s="68" t="str">
        <f>IF(AND('Mapa final'!$Y$17="Media",'Mapa final'!$AA$17="Leve"),CONCATENATE("R6C",'Mapa final'!$O$17),"")</f>
        <v/>
      </c>
      <c r="M31" s="68" t="str">
        <f>IF(AND('Mapa final'!$Y$18="Media",'Mapa final'!$AA$18="Leve"),CONCATENATE("R6C",'Mapa final'!$O$18),"")</f>
        <v/>
      </c>
      <c r="N31" s="68" t="str">
        <f>IF(AND('Mapa final'!$Y$19="Media",'Mapa final'!$AA$19="Leve"),CONCATENATE("R6C",'Mapa final'!$O$19),"")</f>
        <v/>
      </c>
      <c r="O31" s="69" t="str">
        <f>IF(AND('Mapa final'!$Y$20="Media",'Mapa final'!$AA$20="Leve"),CONCATENATE("R6C",'Mapa final'!$O$20),"")</f>
        <v/>
      </c>
      <c r="P31" s="67" t="str">
        <f>IF(AND('Mapa final'!$Y$15="Media",'Mapa final'!$AA$15="Menor"),CONCATENATE("R6C",'Mapa final'!$O$15),"")</f>
        <v/>
      </c>
      <c r="Q31" s="68" t="str">
        <f>IF(AND('Mapa final'!$Y$16="Media",'Mapa final'!$AA$16="Menor"),CONCATENATE("R6C",'Mapa final'!$O$16),"")</f>
        <v/>
      </c>
      <c r="R31" s="68" t="str">
        <f>IF(AND('Mapa final'!$Y$17="Media",'Mapa final'!$AA$17="Menor"),CONCATENATE("R6C",'Mapa final'!$O$17),"")</f>
        <v/>
      </c>
      <c r="S31" s="68" t="str">
        <f>IF(AND('Mapa final'!$Y$18="Media",'Mapa final'!$AA$18="Menor"),CONCATENATE("R6C",'Mapa final'!$O$18),"")</f>
        <v/>
      </c>
      <c r="T31" s="68" t="str">
        <f>IF(AND('Mapa final'!$Y$19="Media",'Mapa final'!$AA$19="Menor"),CONCATENATE("R6C",'Mapa final'!$O$19),"")</f>
        <v/>
      </c>
      <c r="U31" s="69" t="str">
        <f>IF(AND('Mapa final'!$Y$20="Media",'Mapa final'!$AA$20="Menor"),CONCATENATE("R6C",'Mapa final'!$O$20),"")</f>
        <v/>
      </c>
      <c r="V31" s="67" t="str">
        <f>IF(AND('Mapa final'!$Y$15="Media",'Mapa final'!$AA$15="Moderado"),CONCATENATE("R6C",'Mapa final'!$O$15),"")</f>
        <v/>
      </c>
      <c r="W31" s="68" t="str">
        <f>IF(AND('Mapa final'!$Y$16="Media",'Mapa final'!$AA$16="Moderado"),CONCATENATE("R6C",'Mapa final'!$O$16),"")</f>
        <v/>
      </c>
      <c r="X31" s="68" t="str">
        <f>IF(AND('Mapa final'!$Y$17="Media",'Mapa final'!$AA$17="Moderado"),CONCATENATE("R6C",'Mapa final'!$O$17),"")</f>
        <v/>
      </c>
      <c r="Y31" s="68" t="str">
        <f>IF(AND('Mapa final'!$Y$18="Media",'Mapa final'!$AA$18="Moderado"),CONCATENATE("R6C",'Mapa final'!$O$18),"")</f>
        <v/>
      </c>
      <c r="Z31" s="68" t="str">
        <f>IF(AND('Mapa final'!$Y$19="Media",'Mapa final'!$AA$19="Moderado"),CONCATENATE("R6C",'Mapa final'!$O$19),"")</f>
        <v/>
      </c>
      <c r="AA31" s="69" t="str">
        <f>IF(AND('Mapa final'!$Y$20="Media",'Mapa final'!$AA$20="Moderado"),CONCATENATE("R6C",'Mapa final'!$O$20),"")</f>
        <v/>
      </c>
      <c r="AB31" s="52" t="str">
        <f>IF(AND('Mapa final'!$Y$15="Media",'Mapa final'!$AA$15="Mayor"),CONCATENATE("R6C",'Mapa final'!$O$15),"")</f>
        <v/>
      </c>
      <c r="AC31" s="53" t="str">
        <f>IF(AND('Mapa final'!$Y$16="Media",'Mapa final'!$AA$16="Mayor"),CONCATENATE("R6C",'Mapa final'!$O$16),"")</f>
        <v/>
      </c>
      <c r="AD31" s="53" t="str">
        <f>IF(AND('Mapa final'!$Y$17="Media",'Mapa final'!$AA$17="Mayor"),CONCATENATE("R6C",'Mapa final'!$O$17),"")</f>
        <v/>
      </c>
      <c r="AE31" s="53" t="str">
        <f>IF(AND('Mapa final'!$Y$18="Media",'Mapa final'!$AA$18="Mayor"),CONCATENATE("R6C",'Mapa final'!$O$18),"")</f>
        <v/>
      </c>
      <c r="AF31" s="53" t="str">
        <f>IF(AND('Mapa final'!$Y$19="Media",'Mapa final'!$AA$19="Mayor"),CONCATENATE("R6C",'Mapa final'!$O$19),"")</f>
        <v/>
      </c>
      <c r="AG31" s="54" t="str">
        <f>IF(AND('Mapa final'!$Y$20="Media",'Mapa final'!$AA$20="Mayor"),CONCATENATE("R6C",'Mapa final'!$O$20),"")</f>
        <v/>
      </c>
      <c r="AH31" s="55" t="str">
        <f>IF(AND('Mapa final'!$Y$15="Media",'Mapa final'!$AA$15="Catastrófico"),CONCATENATE("R6C",'Mapa final'!$O$15),"")</f>
        <v/>
      </c>
      <c r="AI31" s="56" t="str">
        <f>IF(AND('Mapa final'!$Y$16="Media",'Mapa final'!$AA$16="Catastrófico"),CONCATENATE("R6C",'Mapa final'!$O$16),"")</f>
        <v/>
      </c>
      <c r="AJ31" s="56" t="str">
        <f>IF(AND('Mapa final'!$Y$17="Media",'Mapa final'!$AA$17="Catastrófico"),CONCATENATE("R6C",'Mapa final'!$O$17),"")</f>
        <v/>
      </c>
      <c r="AK31" s="56" t="str">
        <f>IF(AND('Mapa final'!$Y$18="Media",'Mapa final'!$AA$18="Catastrófico"),CONCATENATE("R6C",'Mapa final'!$O$18),"")</f>
        <v/>
      </c>
      <c r="AL31" s="56" t="str">
        <f>IF(AND('Mapa final'!$Y$19="Media",'Mapa final'!$AA$19="Catastrófico"),CONCATENATE("R6C",'Mapa final'!$O$19),"")</f>
        <v/>
      </c>
      <c r="AM31" s="57" t="str">
        <f>IF(AND('Mapa final'!$Y$20="Media",'Mapa final'!$AA$20="Catastrófico"),CONCATENATE("R6C",'Mapa final'!$O$20),"")</f>
        <v/>
      </c>
      <c r="AN31" s="83"/>
      <c r="AO31" s="381"/>
      <c r="AP31" s="382"/>
      <c r="AQ31" s="382"/>
      <c r="AR31" s="382"/>
      <c r="AS31" s="382"/>
      <c r="AT31" s="3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53"/>
      <c r="C32" s="253"/>
      <c r="D32" s="254"/>
      <c r="E32" s="352"/>
      <c r="F32" s="351"/>
      <c r="G32" s="351"/>
      <c r="H32" s="351"/>
      <c r="I32" s="367"/>
      <c r="J32" s="67" t="str">
        <f>IF(AND('Mapa final'!$Y$21="Media",'Mapa final'!$AA$21="Leve"),CONCATENATE("R7C",'Mapa final'!$O$21),"")</f>
        <v/>
      </c>
      <c r="K32" s="68" t="str">
        <f>IF(AND('Mapa final'!$Y$22="Media",'Mapa final'!$AA$22="Leve"),CONCATENATE("R7C",'Mapa final'!$O$22),"")</f>
        <v/>
      </c>
      <c r="L32" s="68" t="str">
        <f>IF(AND('Mapa final'!$Y$23="Media",'Mapa final'!$AA$23="Leve"),CONCATENATE("R7C",'Mapa final'!$O$23),"")</f>
        <v/>
      </c>
      <c r="M32" s="68" t="str">
        <f>IF(AND('Mapa final'!$Y$24="Media",'Mapa final'!$AA$24="Leve"),CONCATENATE("R7C",'Mapa final'!$O$24),"")</f>
        <v/>
      </c>
      <c r="N32" s="68" t="str">
        <f>IF(AND('Mapa final'!$Y$25="Media",'Mapa final'!$AA$25="Leve"),CONCATENATE("R7C",'Mapa final'!$O$25),"")</f>
        <v/>
      </c>
      <c r="O32" s="69" t="str">
        <f>IF(AND('Mapa final'!$Y$26="Media",'Mapa final'!$AA$26="Leve"),CONCATENATE("R7C",'Mapa final'!$O$26),"")</f>
        <v/>
      </c>
      <c r="P32" s="67" t="str">
        <f>IF(AND('Mapa final'!$Y$21="Media",'Mapa final'!$AA$21="Menor"),CONCATENATE("R7C",'Mapa final'!$O$21),"")</f>
        <v/>
      </c>
      <c r="Q32" s="68" t="str">
        <f>IF(AND('Mapa final'!$Y$22="Media",'Mapa final'!$AA$22="Menor"),CONCATENATE("R7C",'Mapa final'!$O$22),"")</f>
        <v/>
      </c>
      <c r="R32" s="68" t="str">
        <f>IF(AND('Mapa final'!$Y$23="Media",'Mapa final'!$AA$23="Menor"),CONCATENATE("R7C",'Mapa final'!$O$23),"")</f>
        <v/>
      </c>
      <c r="S32" s="68" t="str">
        <f>IF(AND('Mapa final'!$Y$24="Media",'Mapa final'!$AA$24="Menor"),CONCATENATE("R7C",'Mapa final'!$O$24),"")</f>
        <v/>
      </c>
      <c r="T32" s="68" t="str">
        <f>IF(AND('Mapa final'!$Y$25="Media",'Mapa final'!$AA$25="Menor"),CONCATENATE("R7C",'Mapa final'!$O$25),"")</f>
        <v/>
      </c>
      <c r="U32" s="69" t="str">
        <f>IF(AND('Mapa final'!$Y$26="Media",'Mapa final'!$AA$26="Menor"),CONCATENATE("R7C",'Mapa final'!$O$26),"")</f>
        <v/>
      </c>
      <c r="V32" s="67" t="str">
        <f>IF(AND('Mapa final'!$Y$21="Media",'Mapa final'!$AA$21="Moderado"),CONCATENATE("R7C",'Mapa final'!$O$21),"")</f>
        <v/>
      </c>
      <c r="W32" s="68" t="str">
        <f>IF(AND('Mapa final'!$Y$22="Media",'Mapa final'!$AA$22="Moderado"),CONCATENATE("R7C",'Mapa final'!$O$22),"")</f>
        <v/>
      </c>
      <c r="X32" s="68" t="str">
        <f>IF(AND('Mapa final'!$Y$23="Media",'Mapa final'!$AA$23="Moderado"),CONCATENATE("R7C",'Mapa final'!$O$23),"")</f>
        <v/>
      </c>
      <c r="Y32" s="68" t="str">
        <f>IF(AND('Mapa final'!$Y$24="Media",'Mapa final'!$AA$24="Moderado"),CONCATENATE("R7C",'Mapa final'!$O$24),"")</f>
        <v/>
      </c>
      <c r="Z32" s="68" t="str">
        <f>IF(AND('Mapa final'!$Y$25="Media",'Mapa final'!$AA$25="Moderado"),CONCATENATE("R7C",'Mapa final'!$O$25),"")</f>
        <v/>
      </c>
      <c r="AA32" s="69" t="str">
        <f>IF(AND('Mapa final'!$Y$26="Media",'Mapa final'!$AA$26="Moderado"),CONCATENATE("R7C",'Mapa final'!$O$26),"")</f>
        <v/>
      </c>
      <c r="AB32" s="52" t="str">
        <f>IF(AND('Mapa final'!$Y$21="Media",'Mapa final'!$AA$21="Mayor"),CONCATENATE("R7C",'Mapa final'!$O$21),"")</f>
        <v/>
      </c>
      <c r="AC32" s="53" t="str">
        <f>IF(AND('Mapa final'!$Y$22="Media",'Mapa final'!$AA$22="Mayor"),CONCATENATE("R7C",'Mapa final'!$O$22),"")</f>
        <v/>
      </c>
      <c r="AD32" s="53" t="str">
        <f>IF(AND('Mapa final'!$Y$23="Media",'Mapa final'!$AA$23="Mayor"),CONCATENATE("R7C",'Mapa final'!$O$23),"")</f>
        <v/>
      </c>
      <c r="AE32" s="53" t="str">
        <f>IF(AND('Mapa final'!$Y$24="Media",'Mapa final'!$AA$24="Mayor"),CONCATENATE("R7C",'Mapa final'!$O$24),"")</f>
        <v/>
      </c>
      <c r="AF32" s="53" t="str">
        <f>IF(AND('Mapa final'!$Y$25="Media",'Mapa final'!$AA$25="Mayor"),CONCATENATE("R7C",'Mapa final'!$O$25),"")</f>
        <v/>
      </c>
      <c r="AG32" s="54" t="str">
        <f>IF(AND('Mapa final'!$Y$26="Media",'Mapa final'!$AA$26="Mayor"),CONCATENATE("R7C",'Mapa final'!$O$26),"")</f>
        <v/>
      </c>
      <c r="AH32" s="55" t="str">
        <f>IF(AND('Mapa final'!$Y$21="Media",'Mapa final'!$AA$21="Catastrófico"),CONCATENATE("R7C",'Mapa final'!$O$21),"")</f>
        <v/>
      </c>
      <c r="AI32" s="56" t="str">
        <f>IF(AND('Mapa final'!$Y$22="Media",'Mapa final'!$AA$22="Catastrófico"),CONCATENATE("R7C",'Mapa final'!$O$22),"")</f>
        <v/>
      </c>
      <c r="AJ32" s="56" t="str">
        <f>IF(AND('Mapa final'!$Y$23="Media",'Mapa final'!$AA$23="Catastrófico"),CONCATENATE("R7C",'Mapa final'!$O$23),"")</f>
        <v/>
      </c>
      <c r="AK32" s="56" t="str">
        <f>IF(AND('Mapa final'!$Y$24="Media",'Mapa final'!$AA$24="Catastrófico"),CONCATENATE("R7C",'Mapa final'!$O$24),"")</f>
        <v/>
      </c>
      <c r="AL32" s="56" t="str">
        <f>IF(AND('Mapa final'!$Y$25="Media",'Mapa final'!$AA$25="Catastrófico"),CONCATENATE("R7C",'Mapa final'!$O$25),"")</f>
        <v/>
      </c>
      <c r="AM32" s="57" t="str">
        <f>IF(AND('Mapa final'!$Y$26="Media",'Mapa final'!$AA$26="Catastrófico"),CONCATENATE("R7C",'Mapa final'!$O$26),"")</f>
        <v/>
      </c>
      <c r="AN32" s="83"/>
      <c r="AO32" s="381"/>
      <c r="AP32" s="382"/>
      <c r="AQ32" s="382"/>
      <c r="AR32" s="382"/>
      <c r="AS32" s="382"/>
      <c r="AT32" s="3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53"/>
      <c r="C33" s="253"/>
      <c r="D33" s="254"/>
      <c r="E33" s="352"/>
      <c r="F33" s="351"/>
      <c r="G33" s="351"/>
      <c r="H33" s="351"/>
      <c r="I33" s="367"/>
      <c r="J33" s="67" t="str">
        <f>IF(AND('Mapa final'!$Y$27="Media",'Mapa final'!$AA$27="Leve"),CONCATENATE("R8C",'Mapa final'!$O$27),"")</f>
        <v/>
      </c>
      <c r="K33" s="68" t="str">
        <f>IF(AND('Mapa final'!$Y$28="Media",'Mapa final'!$AA$28="Leve"),CONCATENATE("R8C",'Mapa final'!$O$28),"")</f>
        <v/>
      </c>
      <c r="L33" s="68" t="str">
        <f>IF(AND('Mapa final'!$Y$29="Media",'Mapa final'!$AA$29="Leve"),CONCATENATE("R8C",'Mapa final'!$O$29),"")</f>
        <v/>
      </c>
      <c r="M33" s="68" t="str">
        <f>IF(AND('Mapa final'!$Y$30="Media",'Mapa final'!$AA$30="Leve"),CONCATENATE("R8C",'Mapa final'!$O$30),"")</f>
        <v/>
      </c>
      <c r="N33" s="68" t="str">
        <f>IF(AND('Mapa final'!$Y$31="Media",'Mapa final'!$AA$31="Leve"),CONCATENATE("R8C",'Mapa final'!$O$31),"")</f>
        <v/>
      </c>
      <c r="O33" s="69" t="str">
        <f>IF(AND('Mapa final'!$Y$32="Media",'Mapa final'!$AA$32="Leve"),CONCATENATE("R8C",'Mapa final'!$O$32),"")</f>
        <v/>
      </c>
      <c r="P33" s="67" t="str">
        <f>IF(AND('Mapa final'!$Y$27="Media",'Mapa final'!$AA$27="Menor"),CONCATENATE("R8C",'Mapa final'!$O$27),"")</f>
        <v/>
      </c>
      <c r="Q33" s="68" t="str">
        <f>IF(AND('Mapa final'!$Y$28="Media",'Mapa final'!$AA$28="Menor"),CONCATENATE("R8C",'Mapa final'!$O$28),"")</f>
        <v/>
      </c>
      <c r="R33" s="68" t="str">
        <f>IF(AND('Mapa final'!$Y$29="Media",'Mapa final'!$AA$29="Menor"),CONCATENATE("R8C",'Mapa final'!$O$29),"")</f>
        <v/>
      </c>
      <c r="S33" s="68" t="str">
        <f>IF(AND('Mapa final'!$Y$30="Media",'Mapa final'!$AA$30="Menor"),CONCATENATE("R8C",'Mapa final'!$O$30),"")</f>
        <v/>
      </c>
      <c r="T33" s="68" t="str">
        <f>IF(AND('Mapa final'!$Y$31="Media",'Mapa final'!$AA$31="Menor"),CONCATENATE("R8C",'Mapa final'!$O$31),"")</f>
        <v/>
      </c>
      <c r="U33" s="69" t="str">
        <f>IF(AND('Mapa final'!$Y$32="Media",'Mapa final'!$AA$32="Menor"),CONCATENATE("R8C",'Mapa final'!$O$32),"")</f>
        <v/>
      </c>
      <c r="V33" s="67" t="str">
        <f>IF(AND('Mapa final'!$Y$27="Media",'Mapa final'!$AA$27="Moderado"),CONCATENATE("R8C",'Mapa final'!$O$27),"")</f>
        <v/>
      </c>
      <c r="W33" s="68" t="str">
        <f>IF(AND('Mapa final'!$Y$28="Media",'Mapa final'!$AA$28="Moderado"),CONCATENATE("R8C",'Mapa final'!$O$28),"")</f>
        <v/>
      </c>
      <c r="X33" s="68" t="str">
        <f>IF(AND('Mapa final'!$Y$29="Media",'Mapa final'!$AA$29="Moderado"),CONCATENATE("R8C",'Mapa final'!$O$29),"")</f>
        <v/>
      </c>
      <c r="Y33" s="68" t="str">
        <f>IF(AND('Mapa final'!$Y$30="Media",'Mapa final'!$AA$30="Moderado"),CONCATENATE("R8C",'Mapa final'!$O$30),"")</f>
        <v/>
      </c>
      <c r="Z33" s="68" t="str">
        <f>IF(AND('Mapa final'!$Y$31="Media",'Mapa final'!$AA$31="Moderado"),CONCATENATE("R8C",'Mapa final'!$O$31),"")</f>
        <v/>
      </c>
      <c r="AA33" s="69" t="str">
        <f>IF(AND('Mapa final'!$Y$32="Media",'Mapa final'!$AA$32="Moderado"),CONCATENATE("R8C",'Mapa final'!$O$32),"")</f>
        <v/>
      </c>
      <c r="AB33" s="52" t="str">
        <f>IF(AND('Mapa final'!$Y$27="Media",'Mapa final'!$AA$27="Mayor"),CONCATENATE("R8C",'Mapa final'!$O$27),"")</f>
        <v/>
      </c>
      <c r="AC33" s="53" t="str">
        <f>IF(AND('Mapa final'!$Y$28="Media",'Mapa final'!$AA$28="Mayor"),CONCATENATE("R8C",'Mapa final'!$O$28),"")</f>
        <v/>
      </c>
      <c r="AD33" s="53" t="str">
        <f>IF(AND('Mapa final'!$Y$29="Media",'Mapa final'!$AA$29="Mayor"),CONCATENATE("R8C",'Mapa final'!$O$29),"")</f>
        <v/>
      </c>
      <c r="AE33" s="53" t="str">
        <f>IF(AND('Mapa final'!$Y$30="Media",'Mapa final'!$AA$30="Mayor"),CONCATENATE("R8C",'Mapa final'!$O$30),"")</f>
        <v/>
      </c>
      <c r="AF33" s="53" t="str">
        <f>IF(AND('Mapa final'!$Y$31="Media",'Mapa final'!$AA$31="Mayor"),CONCATENATE("R8C",'Mapa final'!$O$31),"")</f>
        <v/>
      </c>
      <c r="AG33" s="54" t="str">
        <f>IF(AND('Mapa final'!$Y$32="Media",'Mapa final'!$AA$32="Mayor"),CONCATENATE("R8C",'Mapa final'!$O$32),"")</f>
        <v/>
      </c>
      <c r="AH33" s="55" t="str">
        <f>IF(AND('Mapa final'!$Y$27="Media",'Mapa final'!$AA$27="Catastrófico"),CONCATENATE("R8C",'Mapa final'!$O$27),"")</f>
        <v/>
      </c>
      <c r="AI33" s="56" t="str">
        <f>IF(AND('Mapa final'!$Y$28="Media",'Mapa final'!$AA$28="Catastrófico"),CONCATENATE("R8C",'Mapa final'!$O$28),"")</f>
        <v/>
      </c>
      <c r="AJ33" s="56" t="str">
        <f>IF(AND('Mapa final'!$Y$29="Media",'Mapa final'!$AA$29="Catastrófico"),CONCATENATE("R8C",'Mapa final'!$O$29),"")</f>
        <v/>
      </c>
      <c r="AK33" s="56" t="str">
        <f>IF(AND('Mapa final'!$Y$30="Media",'Mapa final'!$AA$30="Catastrófico"),CONCATENATE("R8C",'Mapa final'!$O$30),"")</f>
        <v/>
      </c>
      <c r="AL33" s="56" t="str">
        <f>IF(AND('Mapa final'!$Y$31="Media",'Mapa final'!$AA$31="Catastrófico"),CONCATENATE("R8C",'Mapa final'!$O$31),"")</f>
        <v/>
      </c>
      <c r="AM33" s="57" t="str">
        <f>IF(AND('Mapa final'!$Y$32="Media",'Mapa final'!$AA$32="Catastrófico"),CONCATENATE("R8C",'Mapa final'!$O$32),"")</f>
        <v/>
      </c>
      <c r="AN33" s="83"/>
      <c r="AO33" s="381"/>
      <c r="AP33" s="382"/>
      <c r="AQ33" s="382"/>
      <c r="AR33" s="382"/>
      <c r="AS33" s="382"/>
      <c r="AT33" s="3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53"/>
      <c r="C34" s="253"/>
      <c r="D34" s="254"/>
      <c r="E34" s="352"/>
      <c r="F34" s="351"/>
      <c r="G34" s="351"/>
      <c r="H34" s="351"/>
      <c r="I34" s="367"/>
      <c r="J34" s="67" t="str">
        <f>IF(AND('Mapa final'!$Y$33="Media",'Mapa final'!$AA$33="Leve"),CONCATENATE("R9C",'Mapa final'!$O$33),"")</f>
        <v/>
      </c>
      <c r="K34" s="68" t="str">
        <f>IF(AND('Mapa final'!$Y$34="Media",'Mapa final'!$AA$34="Leve"),CONCATENATE("R9C",'Mapa final'!$O$34),"")</f>
        <v/>
      </c>
      <c r="L34" s="68" t="str">
        <f>IF(AND('Mapa final'!$Y$35="Media",'Mapa final'!$AA$35="Leve"),CONCATENATE("R9C",'Mapa final'!$O$35),"")</f>
        <v/>
      </c>
      <c r="M34" s="68" t="str">
        <f>IF(AND('Mapa final'!$Y$36="Media",'Mapa final'!$AA$36="Leve"),CONCATENATE("R9C",'Mapa final'!$O$36),"")</f>
        <v/>
      </c>
      <c r="N34" s="68" t="str">
        <f>IF(AND('Mapa final'!$Y$37="Media",'Mapa final'!$AA$37="Leve"),CONCATENATE("R9C",'Mapa final'!$O$37),"")</f>
        <v/>
      </c>
      <c r="O34" s="69" t="str">
        <f>IF(AND('Mapa final'!$Y$38="Media",'Mapa final'!$AA$38="Leve"),CONCATENATE("R9C",'Mapa final'!$O$38),"")</f>
        <v/>
      </c>
      <c r="P34" s="67" t="str">
        <f>IF(AND('Mapa final'!$Y$33="Media",'Mapa final'!$AA$33="Menor"),CONCATENATE("R9C",'Mapa final'!$O$33),"")</f>
        <v/>
      </c>
      <c r="Q34" s="68" t="str">
        <f>IF(AND('Mapa final'!$Y$34="Media",'Mapa final'!$AA$34="Menor"),CONCATENATE("R9C",'Mapa final'!$O$34),"")</f>
        <v/>
      </c>
      <c r="R34" s="68" t="str">
        <f>IF(AND('Mapa final'!$Y$35="Media",'Mapa final'!$AA$35="Menor"),CONCATENATE("R9C",'Mapa final'!$O$35),"")</f>
        <v/>
      </c>
      <c r="S34" s="68" t="str">
        <f>IF(AND('Mapa final'!$Y$36="Media",'Mapa final'!$AA$36="Menor"),CONCATENATE("R9C",'Mapa final'!$O$36),"")</f>
        <v/>
      </c>
      <c r="T34" s="68" t="str">
        <f>IF(AND('Mapa final'!$Y$37="Media",'Mapa final'!$AA$37="Menor"),CONCATENATE("R9C",'Mapa final'!$O$37),"")</f>
        <v/>
      </c>
      <c r="U34" s="69" t="str">
        <f>IF(AND('Mapa final'!$Y$38="Media",'Mapa final'!$AA$38="Menor"),CONCATENATE("R9C",'Mapa final'!$O$38),"")</f>
        <v/>
      </c>
      <c r="V34" s="67" t="str">
        <f>IF(AND('Mapa final'!$Y$33="Media",'Mapa final'!$AA$33="Moderado"),CONCATENATE("R9C",'Mapa final'!$O$33),"")</f>
        <v/>
      </c>
      <c r="W34" s="68" t="str">
        <f>IF(AND('Mapa final'!$Y$34="Media",'Mapa final'!$AA$34="Moderado"),CONCATENATE("R9C",'Mapa final'!$O$34),"")</f>
        <v/>
      </c>
      <c r="X34" s="68" t="str">
        <f>IF(AND('Mapa final'!$Y$35="Media",'Mapa final'!$AA$35="Moderado"),CONCATENATE("R9C",'Mapa final'!$O$35),"")</f>
        <v/>
      </c>
      <c r="Y34" s="68" t="str">
        <f>IF(AND('Mapa final'!$Y$36="Media",'Mapa final'!$AA$36="Moderado"),CONCATENATE("R9C",'Mapa final'!$O$36),"")</f>
        <v/>
      </c>
      <c r="Z34" s="68" t="str">
        <f>IF(AND('Mapa final'!$Y$37="Media",'Mapa final'!$AA$37="Moderado"),CONCATENATE("R9C",'Mapa final'!$O$37),"")</f>
        <v/>
      </c>
      <c r="AA34" s="69" t="str">
        <f>IF(AND('Mapa final'!$Y$38="Media",'Mapa final'!$AA$38="Moderado"),CONCATENATE("R9C",'Mapa final'!$O$38),"")</f>
        <v/>
      </c>
      <c r="AB34" s="52" t="str">
        <f>IF(AND('Mapa final'!$Y$33="Media",'Mapa final'!$AA$33="Mayor"),CONCATENATE("R9C",'Mapa final'!$O$33),"")</f>
        <v/>
      </c>
      <c r="AC34" s="53" t="str">
        <f>IF(AND('Mapa final'!$Y$34="Media",'Mapa final'!$AA$34="Mayor"),CONCATENATE("R9C",'Mapa final'!$O$34),"")</f>
        <v/>
      </c>
      <c r="AD34" s="53" t="str">
        <f>IF(AND('Mapa final'!$Y$35="Media",'Mapa final'!$AA$35="Mayor"),CONCATENATE("R9C",'Mapa final'!$O$35),"")</f>
        <v/>
      </c>
      <c r="AE34" s="53" t="str">
        <f>IF(AND('Mapa final'!$Y$36="Media",'Mapa final'!$AA$36="Mayor"),CONCATENATE("R9C",'Mapa final'!$O$36),"")</f>
        <v/>
      </c>
      <c r="AF34" s="53" t="str">
        <f>IF(AND('Mapa final'!$Y$37="Media",'Mapa final'!$AA$37="Mayor"),CONCATENATE("R9C",'Mapa final'!$O$37),"")</f>
        <v/>
      </c>
      <c r="AG34" s="54" t="str">
        <f>IF(AND('Mapa final'!$Y$38="Media",'Mapa final'!$AA$38="Mayor"),CONCATENATE("R9C",'Mapa final'!$O$38),"")</f>
        <v/>
      </c>
      <c r="AH34" s="55" t="str">
        <f>IF(AND('Mapa final'!$Y$33="Media",'Mapa final'!$AA$33="Catastrófico"),CONCATENATE("R9C",'Mapa final'!$O$33),"")</f>
        <v/>
      </c>
      <c r="AI34" s="56" t="str">
        <f>IF(AND('Mapa final'!$Y$34="Media",'Mapa final'!$AA$34="Catastrófico"),CONCATENATE("R9C",'Mapa final'!$O$34),"")</f>
        <v/>
      </c>
      <c r="AJ34" s="56" t="str">
        <f>IF(AND('Mapa final'!$Y$35="Media",'Mapa final'!$AA$35="Catastrófico"),CONCATENATE("R9C",'Mapa final'!$O$35),"")</f>
        <v/>
      </c>
      <c r="AK34" s="56" t="str">
        <f>IF(AND('Mapa final'!$Y$36="Media",'Mapa final'!$AA$36="Catastrófico"),CONCATENATE("R9C",'Mapa final'!$O$36),"")</f>
        <v/>
      </c>
      <c r="AL34" s="56" t="str">
        <f>IF(AND('Mapa final'!$Y$37="Media",'Mapa final'!$AA$37="Catastrófico"),CONCATENATE("R9C",'Mapa final'!$O$37),"")</f>
        <v/>
      </c>
      <c r="AM34" s="57" t="str">
        <f>IF(AND('Mapa final'!$Y$38="Media",'Mapa final'!$AA$38="Catastrófico"),CONCATENATE("R9C",'Mapa final'!$O$38),"")</f>
        <v/>
      </c>
      <c r="AN34" s="83"/>
      <c r="AO34" s="381"/>
      <c r="AP34" s="382"/>
      <c r="AQ34" s="382"/>
      <c r="AR34" s="382"/>
      <c r="AS34" s="382"/>
      <c r="AT34" s="3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53"/>
      <c r="C35" s="253"/>
      <c r="D35" s="254"/>
      <c r="E35" s="353"/>
      <c r="F35" s="354"/>
      <c r="G35" s="354"/>
      <c r="H35" s="354"/>
      <c r="I35" s="368"/>
      <c r="J35" s="67" t="str">
        <f>IF(AND('Mapa final'!$Y$39="Media",'Mapa final'!$AA$39="Leve"),CONCATENATE("R10C",'Mapa final'!$O$39),"")</f>
        <v/>
      </c>
      <c r="K35" s="68" t="str">
        <f>IF(AND('Mapa final'!$Y$40="Media",'Mapa final'!$AA$40="Leve"),CONCATENATE("R10C",'Mapa final'!$O$40),"")</f>
        <v/>
      </c>
      <c r="L35" s="68" t="str">
        <f>IF(AND('Mapa final'!$Y$41="Media",'Mapa final'!$AA$41="Leve"),CONCATENATE("R10C",'Mapa final'!$O$41),"")</f>
        <v/>
      </c>
      <c r="M35" s="68" t="str">
        <f>IF(AND('Mapa final'!$Y$42="Media",'Mapa final'!$AA$42="Leve"),CONCATENATE("R10C",'Mapa final'!$O$42),"")</f>
        <v/>
      </c>
      <c r="N35" s="68" t="str">
        <f>IF(AND('Mapa final'!$Y$43="Media",'Mapa final'!$AA$43="Leve"),CONCATENATE("R10C",'Mapa final'!$O$43),"")</f>
        <v/>
      </c>
      <c r="O35" s="69" t="str">
        <f>IF(AND('Mapa final'!$Y$44="Media",'Mapa final'!$AA$44="Leve"),CONCATENATE("R10C",'Mapa final'!$O$44),"")</f>
        <v/>
      </c>
      <c r="P35" s="67" t="str">
        <f>IF(AND('Mapa final'!$Y$39="Media",'Mapa final'!$AA$39="Menor"),CONCATENATE("R10C",'Mapa final'!$O$39),"")</f>
        <v/>
      </c>
      <c r="Q35" s="68" t="str">
        <f>IF(AND('Mapa final'!$Y$40="Media",'Mapa final'!$AA$40="Menor"),CONCATENATE("R10C",'Mapa final'!$O$40),"")</f>
        <v/>
      </c>
      <c r="R35" s="68" t="str">
        <f>IF(AND('Mapa final'!$Y$41="Media",'Mapa final'!$AA$41="Menor"),CONCATENATE("R10C",'Mapa final'!$O$41),"")</f>
        <v/>
      </c>
      <c r="S35" s="68" t="str">
        <f>IF(AND('Mapa final'!$Y$42="Media",'Mapa final'!$AA$42="Menor"),CONCATENATE("R10C",'Mapa final'!$O$42),"")</f>
        <v/>
      </c>
      <c r="T35" s="68" t="str">
        <f>IF(AND('Mapa final'!$Y$43="Media",'Mapa final'!$AA$43="Menor"),CONCATENATE("R10C",'Mapa final'!$O$43),"")</f>
        <v/>
      </c>
      <c r="U35" s="69" t="str">
        <f>IF(AND('Mapa final'!$Y$44="Media",'Mapa final'!$AA$44="Menor"),CONCATENATE("R10C",'Mapa final'!$O$44),"")</f>
        <v/>
      </c>
      <c r="V35" s="67" t="str">
        <f>IF(AND('Mapa final'!$Y$39="Media",'Mapa final'!$AA$39="Moderado"),CONCATENATE("R10C",'Mapa final'!$O$39),"")</f>
        <v/>
      </c>
      <c r="W35" s="68" t="str">
        <f>IF(AND('Mapa final'!$Y$40="Media",'Mapa final'!$AA$40="Moderado"),CONCATENATE("R10C",'Mapa final'!$O$40),"")</f>
        <v/>
      </c>
      <c r="X35" s="68" t="str">
        <f>IF(AND('Mapa final'!$Y$41="Media",'Mapa final'!$AA$41="Moderado"),CONCATENATE("R10C",'Mapa final'!$O$41),"")</f>
        <v/>
      </c>
      <c r="Y35" s="68" t="str">
        <f>IF(AND('Mapa final'!$Y$42="Media",'Mapa final'!$AA$42="Moderado"),CONCATENATE("R10C",'Mapa final'!$O$42),"")</f>
        <v/>
      </c>
      <c r="Z35" s="68" t="str">
        <f>IF(AND('Mapa final'!$Y$43="Media",'Mapa final'!$AA$43="Moderado"),CONCATENATE("R10C",'Mapa final'!$O$43),"")</f>
        <v/>
      </c>
      <c r="AA35" s="69" t="str">
        <f>IF(AND('Mapa final'!$Y$44="Media",'Mapa final'!$AA$44="Moderado"),CONCATENATE("R10C",'Mapa final'!$O$44),"")</f>
        <v/>
      </c>
      <c r="AB35" s="58" t="str">
        <f>IF(AND('Mapa final'!$Y$39="Media",'Mapa final'!$AA$39="Mayor"),CONCATENATE("R10C",'Mapa final'!$O$39),"")</f>
        <v/>
      </c>
      <c r="AC35" s="59" t="str">
        <f>IF(AND('Mapa final'!$Y$40="Media",'Mapa final'!$AA$40="Mayor"),CONCATENATE("R10C",'Mapa final'!$O$40),"")</f>
        <v/>
      </c>
      <c r="AD35" s="59" t="str">
        <f>IF(AND('Mapa final'!$Y$41="Media",'Mapa final'!$AA$41="Mayor"),CONCATENATE("R10C",'Mapa final'!$O$41),"")</f>
        <v/>
      </c>
      <c r="AE35" s="59" t="str">
        <f>IF(AND('Mapa final'!$Y$42="Media",'Mapa final'!$AA$42="Mayor"),CONCATENATE("R10C",'Mapa final'!$O$42),"")</f>
        <v/>
      </c>
      <c r="AF35" s="59" t="str">
        <f>IF(AND('Mapa final'!$Y$43="Media",'Mapa final'!$AA$43="Mayor"),CONCATENATE("R10C",'Mapa final'!$O$43),"")</f>
        <v/>
      </c>
      <c r="AG35" s="60" t="str">
        <f>IF(AND('Mapa final'!$Y$44="Media",'Mapa final'!$AA$44="Mayor"),CONCATENATE("R10C",'Mapa final'!$O$44),"")</f>
        <v/>
      </c>
      <c r="AH35" s="61" t="str">
        <f>IF(AND('Mapa final'!$Y$39="Media",'Mapa final'!$AA$39="Catastrófico"),CONCATENATE("R10C",'Mapa final'!$O$39),"")</f>
        <v/>
      </c>
      <c r="AI35" s="62" t="str">
        <f>IF(AND('Mapa final'!$Y$40="Media",'Mapa final'!$AA$40="Catastrófico"),CONCATENATE("R10C",'Mapa final'!$O$40),"")</f>
        <v/>
      </c>
      <c r="AJ35" s="62" t="str">
        <f>IF(AND('Mapa final'!$Y$41="Media",'Mapa final'!$AA$41="Catastrófico"),CONCATENATE("R10C",'Mapa final'!$O$41),"")</f>
        <v/>
      </c>
      <c r="AK35" s="62" t="str">
        <f>IF(AND('Mapa final'!$Y$42="Media",'Mapa final'!$AA$42="Catastrófico"),CONCATENATE("R10C",'Mapa final'!$O$42),"")</f>
        <v/>
      </c>
      <c r="AL35" s="62" t="str">
        <f>IF(AND('Mapa final'!$Y$43="Media",'Mapa final'!$AA$43="Catastrófico"),CONCATENATE("R10C",'Mapa final'!$O$43),"")</f>
        <v/>
      </c>
      <c r="AM35" s="63" t="str">
        <f>IF(AND('Mapa final'!$Y$44="Media",'Mapa final'!$AA$44="Catastrófico"),CONCATENATE("R10C",'Mapa final'!$O$44),"")</f>
        <v/>
      </c>
      <c r="AN35" s="83"/>
      <c r="AO35" s="384"/>
      <c r="AP35" s="385"/>
      <c r="AQ35" s="385"/>
      <c r="AR35" s="385"/>
      <c r="AS35" s="385"/>
      <c r="AT35" s="38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53"/>
      <c r="C36" s="253"/>
      <c r="D36" s="254"/>
      <c r="E36" s="348" t="s">
        <v>114</v>
      </c>
      <c r="F36" s="349"/>
      <c r="G36" s="349"/>
      <c r="H36" s="349"/>
      <c r="I36" s="349"/>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9" t="s">
        <v>82</v>
      </c>
      <c r="AP36" s="370"/>
      <c r="AQ36" s="370"/>
      <c r="AR36" s="370"/>
      <c r="AS36" s="370"/>
      <c r="AT36" s="3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53"/>
      <c r="C37" s="253"/>
      <c r="D37" s="254"/>
      <c r="E37" s="350"/>
      <c r="F37" s="351"/>
      <c r="G37" s="351"/>
      <c r="H37" s="351"/>
      <c r="I37" s="351"/>
      <c r="J37" s="76" t="str">
        <f>IF(AND('Mapa final'!$Y$11="Baja",'Mapa final'!$AA$11="Leve"),CONCATENATE("R2C",'Mapa final'!$O$11),"")</f>
        <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str">
        <f>IF(AND('Mapa final'!$Y$11="Baja",'Mapa final'!$AA$11="Menor"),CONCATENATE("R2C",'Mapa final'!$O$11),"")</f>
        <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str">
        <f>IF(AND('Mapa final'!$Y$11="Baja",'Mapa final'!$AA$11="Moderado"),CONCATENATE("R2C",'Mapa final'!$O$11),"")</f>
        <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72"/>
      <c r="AP37" s="373"/>
      <c r="AQ37" s="373"/>
      <c r="AR37" s="373"/>
      <c r="AS37" s="373"/>
      <c r="AT37" s="3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53"/>
      <c r="C38" s="253"/>
      <c r="D38" s="254"/>
      <c r="E38" s="352"/>
      <c r="F38" s="351"/>
      <c r="G38" s="351"/>
      <c r="H38" s="351"/>
      <c r="I38" s="351"/>
      <c r="J38" s="76" t="str">
        <f>IF(AND('Mapa final'!$Y$12="Baja",'Mapa final'!$AA$12="Leve"),CONCATENATE("R3C",'Mapa final'!$O$12),"")</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final'!$Y$12="Baja",'Mapa final'!$AA$12="Menor"),CONCATENATE("R3C",'Mapa final'!$O$12),"")</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final'!$Y$12="Baja",'Mapa final'!$AA$12="Moderado"),CONCATENATE("R3C",'Mapa final'!$O$12),"")</f>
        <v>R3C1</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72"/>
      <c r="AP38" s="373"/>
      <c r="AQ38" s="373"/>
      <c r="AR38" s="373"/>
      <c r="AS38" s="373"/>
      <c r="AT38" s="374"/>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53"/>
      <c r="C39" s="253"/>
      <c r="D39" s="254"/>
      <c r="E39" s="352"/>
      <c r="F39" s="351"/>
      <c r="G39" s="351"/>
      <c r="H39" s="351"/>
      <c r="I39" s="351"/>
      <c r="J39" s="76" t="str">
        <f>IF(AND('Mapa final'!$Y$13="Baja",'Mapa final'!$AA$13="Leve"),CONCATENATE("R4C",'Mapa final'!$O$13),"")</f>
        <v/>
      </c>
      <c r="K39" s="77" t="e">
        <f>IF(AND('Mapa final'!#REF!="Baja",'Mapa final'!#REF!="Leve"),CONCATENATE("R4C",'Mapa final'!#REF!),"")</f>
        <v>#REF!</v>
      </c>
      <c r="L39" s="77" t="e">
        <f>IF(AND('Mapa final'!#REF!="Baja",'Mapa final'!#REF!="Leve"),CONCATENATE("R4C",'Mapa final'!#REF!),"")</f>
        <v>#REF!</v>
      </c>
      <c r="M39" s="77" t="e">
        <f>IF(AND('Mapa final'!#REF!="Baja",'Mapa final'!#REF!="Leve"),CONCATENATE("R4C",'Mapa final'!#REF!),"")</f>
        <v>#REF!</v>
      </c>
      <c r="N39" s="77" t="e">
        <f>IF(AND('Mapa final'!#REF!="Baja",'Mapa final'!#REF!="Leve"),CONCATENATE("R4C",'Mapa final'!#REF!),"")</f>
        <v>#REF!</v>
      </c>
      <c r="O39" s="78" t="e">
        <f>IF(AND('Mapa final'!#REF!="Baja",'Mapa final'!#REF!="Leve"),CONCATENATE("R4C",'Mapa final'!#REF!),"")</f>
        <v>#REF!</v>
      </c>
      <c r="P39" s="67" t="str">
        <f>IF(AND('Mapa final'!$Y$13="Baja",'Mapa final'!$AA$13="Menor"),CONCATENATE("R4C",'Mapa final'!$O$13),"")</f>
        <v/>
      </c>
      <c r="Q39" s="68" t="e">
        <f>IF(AND('Mapa final'!#REF!="Baja",'Mapa final'!#REF!="Menor"),CONCATENATE("R4C",'Mapa final'!#REF!),"")</f>
        <v>#REF!</v>
      </c>
      <c r="R39" s="68" t="e">
        <f>IF(AND('Mapa final'!#REF!="Baja",'Mapa final'!#REF!="Menor"),CONCATENATE("R4C",'Mapa final'!#REF!),"")</f>
        <v>#REF!</v>
      </c>
      <c r="S39" s="68" t="e">
        <f>IF(AND('Mapa final'!#REF!="Baja",'Mapa final'!#REF!="Menor"),CONCATENATE("R4C",'Mapa final'!#REF!),"")</f>
        <v>#REF!</v>
      </c>
      <c r="T39" s="68" t="e">
        <f>IF(AND('Mapa final'!#REF!="Baja",'Mapa final'!#REF!="Menor"),CONCATENATE("R4C",'Mapa final'!#REF!),"")</f>
        <v>#REF!</v>
      </c>
      <c r="U39" s="69" t="e">
        <f>IF(AND('Mapa final'!#REF!="Baja",'Mapa final'!#REF!="Menor"),CONCATENATE("R4C",'Mapa final'!#REF!),"")</f>
        <v>#REF!</v>
      </c>
      <c r="V39" s="67" t="str">
        <f>IF(AND('Mapa final'!$Y$13="Baja",'Mapa final'!$AA$13="Moderado"),CONCATENATE("R4C",'Mapa final'!$O$13),"")</f>
        <v/>
      </c>
      <c r="W39" s="68" t="e">
        <f>IF(AND('Mapa final'!#REF!="Baja",'Mapa final'!#REF!="Moderado"),CONCATENATE("R4C",'Mapa final'!#REF!),"")</f>
        <v>#REF!</v>
      </c>
      <c r="X39" s="68" t="e">
        <f>IF(AND('Mapa final'!#REF!="Baja",'Mapa final'!#REF!="Moderado"),CONCATENATE("R4C",'Mapa final'!#REF!),"")</f>
        <v>#REF!</v>
      </c>
      <c r="Y39" s="68" t="e">
        <f>IF(AND('Mapa final'!#REF!="Baja",'Mapa final'!#REF!="Moderado"),CONCATENATE("R4C",'Mapa final'!#REF!),"")</f>
        <v>#REF!</v>
      </c>
      <c r="Z39" s="68" t="e">
        <f>IF(AND('Mapa final'!#REF!="Baja",'Mapa final'!#REF!="Moderado"),CONCATENATE("R4C",'Mapa final'!#REF!),"")</f>
        <v>#REF!</v>
      </c>
      <c r="AA39" s="69" t="e">
        <f>IF(AND('Mapa final'!#REF!="Baja",'Mapa final'!#REF!="Moderado"),CONCATENATE("R4C",'Mapa final'!#REF!),"")</f>
        <v>#REF!</v>
      </c>
      <c r="AB39" s="52" t="str">
        <f>IF(AND('Mapa final'!$Y$13="Baja",'Mapa final'!$AA$13="Mayor"),CONCATENATE("R4C",'Mapa final'!$O$13),"")</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final'!$Y$13="Baja",'Mapa final'!$AA$13="Catastrófico"),CONCATENATE("R4C",'Mapa final'!$O$13),"")</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3"/>
      <c r="AO39" s="372"/>
      <c r="AP39" s="373"/>
      <c r="AQ39" s="373"/>
      <c r="AR39" s="373"/>
      <c r="AS39" s="373"/>
      <c r="AT39" s="374"/>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53"/>
      <c r="C40" s="253"/>
      <c r="D40" s="254"/>
      <c r="E40" s="352"/>
      <c r="F40" s="351"/>
      <c r="G40" s="351"/>
      <c r="H40" s="351"/>
      <c r="I40" s="351"/>
      <c r="J40" s="76" t="str">
        <f>IF(AND('Mapa final'!$Y$14="Baja",'Mapa final'!$AA$14="Leve"),CONCATENATE("R5C",'Mapa final'!$O$14),"")</f>
        <v/>
      </c>
      <c r="K40" s="77" t="e">
        <f>IF(AND('Mapa final'!#REF!="Baja",'Mapa final'!#REF!="Leve"),CONCATENATE("R5C",'Mapa final'!#REF!),"")</f>
        <v>#REF!</v>
      </c>
      <c r="L40" s="77" t="e">
        <f>IF(AND('Mapa final'!#REF!="Baja",'Mapa final'!#REF!="Leve"),CONCATENATE("R5C",'Mapa final'!#REF!),"")</f>
        <v>#REF!</v>
      </c>
      <c r="M40" s="77" t="e">
        <f>IF(AND('Mapa final'!#REF!="Baja",'Mapa final'!#REF!="Leve"),CONCATENATE("R5C",'Mapa final'!#REF!),"")</f>
        <v>#REF!</v>
      </c>
      <c r="N40" s="77" t="e">
        <f>IF(AND('Mapa final'!#REF!="Baja",'Mapa final'!#REF!="Leve"),CONCATENATE("R5C",'Mapa final'!#REF!),"")</f>
        <v>#REF!</v>
      </c>
      <c r="O40" s="78" t="e">
        <f>IF(AND('Mapa final'!#REF!="Baja",'Mapa final'!#REF!="Leve"),CONCATENATE("R5C",'Mapa final'!#REF!),"")</f>
        <v>#REF!</v>
      </c>
      <c r="P40" s="67" t="str">
        <f>IF(AND('Mapa final'!$Y$14="Baja",'Mapa final'!$AA$14="Menor"),CONCATENATE("R5C",'Mapa final'!$O$14),"")</f>
        <v/>
      </c>
      <c r="Q40" s="68" t="e">
        <f>IF(AND('Mapa final'!#REF!="Baja",'Mapa final'!#REF!="Menor"),CONCATENATE("R5C",'Mapa final'!#REF!),"")</f>
        <v>#REF!</v>
      </c>
      <c r="R40" s="68" t="e">
        <f>IF(AND('Mapa final'!#REF!="Baja",'Mapa final'!#REF!="Menor"),CONCATENATE("R5C",'Mapa final'!#REF!),"")</f>
        <v>#REF!</v>
      </c>
      <c r="S40" s="68" t="e">
        <f>IF(AND('Mapa final'!#REF!="Baja",'Mapa final'!#REF!="Menor"),CONCATENATE("R5C",'Mapa final'!#REF!),"")</f>
        <v>#REF!</v>
      </c>
      <c r="T40" s="68" t="e">
        <f>IF(AND('Mapa final'!#REF!="Baja",'Mapa final'!#REF!="Menor"),CONCATENATE("R5C",'Mapa final'!#REF!),"")</f>
        <v>#REF!</v>
      </c>
      <c r="U40" s="69" t="e">
        <f>IF(AND('Mapa final'!#REF!="Baja",'Mapa final'!#REF!="Menor"),CONCATENATE("R5C",'Mapa final'!#REF!),"")</f>
        <v>#REF!</v>
      </c>
      <c r="V40" s="67" t="str">
        <f>IF(AND('Mapa final'!$Y$14="Baja",'Mapa final'!$AA$14="Moderado"),CONCATENATE("R5C",'Mapa final'!$O$14),"")</f>
        <v/>
      </c>
      <c r="W40" s="68" t="e">
        <f>IF(AND('Mapa final'!#REF!="Baja",'Mapa final'!#REF!="Moderado"),CONCATENATE("R5C",'Mapa final'!#REF!),"")</f>
        <v>#REF!</v>
      </c>
      <c r="X40" s="68" t="e">
        <f>IF(AND('Mapa final'!#REF!="Baja",'Mapa final'!#REF!="Moderado"),CONCATENATE("R5C",'Mapa final'!#REF!),"")</f>
        <v>#REF!</v>
      </c>
      <c r="Y40" s="68" t="e">
        <f>IF(AND('Mapa final'!#REF!="Baja",'Mapa final'!#REF!="Moderado"),CONCATENATE("R5C",'Mapa final'!#REF!),"")</f>
        <v>#REF!</v>
      </c>
      <c r="Z40" s="68" t="e">
        <f>IF(AND('Mapa final'!#REF!="Baja",'Mapa final'!#REF!="Moderado"),CONCATENATE("R5C",'Mapa final'!#REF!),"")</f>
        <v>#REF!</v>
      </c>
      <c r="AA40" s="69" t="e">
        <f>IF(AND('Mapa final'!#REF!="Baja",'Mapa final'!#REF!="Moderado"),CONCATENATE("R5C",'Mapa final'!#REF!),"")</f>
        <v>#REF!</v>
      </c>
      <c r="AB40" s="52" t="str">
        <f>IF(AND('Mapa final'!$Y$14="Baja",'Mapa final'!$AA$14="Mayor"),CONCATENATE("R5C",'Mapa final'!$O$14),"")</f>
        <v/>
      </c>
      <c r="AC40" s="53" t="e">
        <f>IF(AND('Mapa final'!#REF!="Baja",'Mapa final'!#REF!="Mayor"),CONCATENATE("R5C",'Mapa final'!#REF!),"")</f>
        <v>#REF!</v>
      </c>
      <c r="AD40" s="53" t="e">
        <f>IF(AND('Mapa final'!#REF!="Baja",'Mapa final'!#REF!="Mayor"),CONCATENATE("R5C",'Mapa final'!#REF!),"")</f>
        <v>#REF!</v>
      </c>
      <c r="AE40" s="53" t="e">
        <f>IF(AND('Mapa final'!#REF!="Baja",'Mapa final'!#REF!="Mayor"),CONCATENATE("R5C",'Mapa final'!#REF!),"")</f>
        <v>#REF!</v>
      </c>
      <c r="AF40" s="53" t="e">
        <f>IF(AND('Mapa final'!#REF!="Baja",'Mapa final'!#REF!="Mayor"),CONCATENATE("R5C",'Mapa final'!#REF!),"")</f>
        <v>#REF!</v>
      </c>
      <c r="AG40" s="54" t="e">
        <f>IF(AND('Mapa final'!#REF!="Baja",'Mapa final'!#REF!="Mayor"),CONCATENATE("R5C",'Mapa final'!#REF!),"")</f>
        <v>#REF!</v>
      </c>
      <c r="AH40" s="55" t="str">
        <f>IF(AND('Mapa final'!$Y$14="Baja",'Mapa final'!$AA$14="Catastrófico"),CONCATENATE("R5C",'Mapa final'!$O$14),"")</f>
        <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3"/>
      <c r="AO40" s="372"/>
      <c r="AP40" s="373"/>
      <c r="AQ40" s="373"/>
      <c r="AR40" s="373"/>
      <c r="AS40" s="373"/>
      <c r="AT40" s="374"/>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53"/>
      <c r="C41" s="253"/>
      <c r="D41" s="254"/>
      <c r="E41" s="352"/>
      <c r="F41" s="351"/>
      <c r="G41" s="351"/>
      <c r="H41" s="351"/>
      <c r="I41" s="351"/>
      <c r="J41" s="76" t="str">
        <f>IF(AND('Mapa final'!$Y$15="Baja",'Mapa final'!$AA$15="Leve"),CONCATENATE("R6C",'Mapa final'!$O$15),"")</f>
        <v/>
      </c>
      <c r="K41" s="77" t="str">
        <f>IF(AND('Mapa final'!$Y$16="Baja",'Mapa final'!$AA$16="Leve"),CONCATENATE("R6C",'Mapa final'!$O$16),"")</f>
        <v/>
      </c>
      <c r="L41" s="77" t="str">
        <f>IF(AND('Mapa final'!$Y$17="Baja",'Mapa final'!$AA$17="Leve"),CONCATENATE("R6C",'Mapa final'!$O$17),"")</f>
        <v/>
      </c>
      <c r="M41" s="77" t="str">
        <f>IF(AND('Mapa final'!$Y$18="Baja",'Mapa final'!$AA$18="Leve"),CONCATENATE("R6C",'Mapa final'!$O$18),"")</f>
        <v/>
      </c>
      <c r="N41" s="77" t="str">
        <f>IF(AND('Mapa final'!$Y$19="Baja",'Mapa final'!$AA$19="Leve"),CONCATENATE("R6C",'Mapa final'!$O$19),"")</f>
        <v/>
      </c>
      <c r="O41" s="78" t="str">
        <f>IF(AND('Mapa final'!$Y$20="Baja",'Mapa final'!$AA$20="Leve"),CONCATENATE("R6C",'Mapa final'!$O$20),"")</f>
        <v/>
      </c>
      <c r="P41" s="67" t="str">
        <f>IF(AND('Mapa final'!$Y$15="Baja",'Mapa final'!$AA$15="Menor"),CONCATENATE("R6C",'Mapa final'!$O$15),"")</f>
        <v/>
      </c>
      <c r="Q41" s="68" t="str">
        <f>IF(AND('Mapa final'!$Y$16="Baja",'Mapa final'!$AA$16="Menor"),CONCATENATE("R6C",'Mapa final'!$O$16),"")</f>
        <v/>
      </c>
      <c r="R41" s="68" t="str">
        <f>IF(AND('Mapa final'!$Y$17="Baja",'Mapa final'!$AA$17="Menor"),CONCATENATE("R6C",'Mapa final'!$O$17),"")</f>
        <v/>
      </c>
      <c r="S41" s="68" t="str">
        <f>IF(AND('Mapa final'!$Y$18="Baja",'Mapa final'!$AA$18="Menor"),CONCATENATE("R6C",'Mapa final'!$O$18),"")</f>
        <v/>
      </c>
      <c r="T41" s="68" t="str">
        <f>IF(AND('Mapa final'!$Y$19="Baja",'Mapa final'!$AA$19="Menor"),CONCATENATE("R6C",'Mapa final'!$O$19),"")</f>
        <v/>
      </c>
      <c r="U41" s="69" t="str">
        <f>IF(AND('Mapa final'!$Y$20="Baja",'Mapa final'!$AA$20="Menor"),CONCATENATE("R6C",'Mapa final'!$O$20),"")</f>
        <v/>
      </c>
      <c r="V41" s="67" t="str">
        <f>IF(AND('Mapa final'!$Y$15="Baja",'Mapa final'!$AA$15="Moderado"),CONCATENATE("R6C",'Mapa final'!$O$15),"")</f>
        <v/>
      </c>
      <c r="W41" s="68" t="str">
        <f>IF(AND('Mapa final'!$Y$16="Baja",'Mapa final'!$AA$16="Moderado"),CONCATENATE("R6C",'Mapa final'!$O$16),"")</f>
        <v/>
      </c>
      <c r="X41" s="68" t="str">
        <f>IF(AND('Mapa final'!$Y$17="Baja",'Mapa final'!$AA$17="Moderado"),CONCATENATE("R6C",'Mapa final'!$O$17),"")</f>
        <v/>
      </c>
      <c r="Y41" s="68" t="str">
        <f>IF(AND('Mapa final'!$Y$18="Baja",'Mapa final'!$AA$18="Moderado"),CONCATENATE("R6C",'Mapa final'!$O$18),"")</f>
        <v/>
      </c>
      <c r="Z41" s="68" t="str">
        <f>IF(AND('Mapa final'!$Y$19="Baja",'Mapa final'!$AA$19="Moderado"),CONCATENATE("R6C",'Mapa final'!$O$19),"")</f>
        <v/>
      </c>
      <c r="AA41" s="69" t="str">
        <f>IF(AND('Mapa final'!$Y$20="Baja",'Mapa final'!$AA$20="Moderado"),CONCATENATE("R6C",'Mapa final'!$O$20),"")</f>
        <v/>
      </c>
      <c r="AB41" s="52" t="str">
        <f>IF(AND('Mapa final'!$Y$15="Baja",'Mapa final'!$AA$15="Mayor"),CONCATENATE("R6C",'Mapa final'!$O$15),"")</f>
        <v/>
      </c>
      <c r="AC41" s="53" t="str">
        <f>IF(AND('Mapa final'!$Y$16="Baja",'Mapa final'!$AA$16="Mayor"),CONCATENATE("R6C",'Mapa final'!$O$16),"")</f>
        <v/>
      </c>
      <c r="AD41" s="53" t="str">
        <f>IF(AND('Mapa final'!$Y$17="Baja",'Mapa final'!$AA$17="Mayor"),CONCATENATE("R6C",'Mapa final'!$O$17),"")</f>
        <v/>
      </c>
      <c r="AE41" s="53" t="str">
        <f>IF(AND('Mapa final'!$Y$18="Baja",'Mapa final'!$AA$18="Mayor"),CONCATENATE("R6C",'Mapa final'!$O$18),"")</f>
        <v/>
      </c>
      <c r="AF41" s="53" t="str">
        <f>IF(AND('Mapa final'!$Y$19="Baja",'Mapa final'!$AA$19="Mayor"),CONCATENATE("R6C",'Mapa final'!$O$19),"")</f>
        <v/>
      </c>
      <c r="AG41" s="54" t="str">
        <f>IF(AND('Mapa final'!$Y$20="Baja",'Mapa final'!$AA$20="Mayor"),CONCATENATE("R6C",'Mapa final'!$O$20),"")</f>
        <v/>
      </c>
      <c r="AH41" s="55" t="str">
        <f>IF(AND('Mapa final'!$Y$15="Baja",'Mapa final'!$AA$15="Catastrófico"),CONCATENATE("R6C",'Mapa final'!$O$15),"")</f>
        <v/>
      </c>
      <c r="AI41" s="56" t="str">
        <f>IF(AND('Mapa final'!$Y$16="Baja",'Mapa final'!$AA$16="Catastrófico"),CONCATENATE("R6C",'Mapa final'!$O$16),"")</f>
        <v/>
      </c>
      <c r="AJ41" s="56" t="str">
        <f>IF(AND('Mapa final'!$Y$17="Baja",'Mapa final'!$AA$17="Catastrófico"),CONCATENATE("R6C",'Mapa final'!$O$17),"")</f>
        <v/>
      </c>
      <c r="AK41" s="56" t="str">
        <f>IF(AND('Mapa final'!$Y$18="Baja",'Mapa final'!$AA$18="Catastrófico"),CONCATENATE("R6C",'Mapa final'!$O$18),"")</f>
        <v/>
      </c>
      <c r="AL41" s="56" t="str">
        <f>IF(AND('Mapa final'!$Y$19="Baja",'Mapa final'!$AA$19="Catastrófico"),CONCATENATE("R6C",'Mapa final'!$O$19),"")</f>
        <v/>
      </c>
      <c r="AM41" s="57" t="str">
        <f>IF(AND('Mapa final'!$Y$20="Baja",'Mapa final'!$AA$20="Catastrófico"),CONCATENATE("R6C",'Mapa final'!$O$20),"")</f>
        <v/>
      </c>
      <c r="AN41" s="83"/>
      <c r="AO41" s="372"/>
      <c r="AP41" s="373"/>
      <c r="AQ41" s="373"/>
      <c r="AR41" s="373"/>
      <c r="AS41" s="373"/>
      <c r="AT41" s="374"/>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53"/>
      <c r="C42" s="253"/>
      <c r="D42" s="254"/>
      <c r="E42" s="352"/>
      <c r="F42" s="351"/>
      <c r="G42" s="351"/>
      <c r="H42" s="351"/>
      <c r="I42" s="351"/>
      <c r="J42" s="76" t="str">
        <f>IF(AND('Mapa final'!$Y$21="Baja",'Mapa final'!$AA$21="Leve"),CONCATENATE("R7C",'Mapa final'!$O$21),"")</f>
        <v/>
      </c>
      <c r="K42" s="77" t="str">
        <f>IF(AND('Mapa final'!$Y$22="Baja",'Mapa final'!$AA$22="Leve"),CONCATENATE("R7C",'Mapa final'!$O$22),"")</f>
        <v/>
      </c>
      <c r="L42" s="77" t="str">
        <f>IF(AND('Mapa final'!$Y$23="Baja",'Mapa final'!$AA$23="Leve"),CONCATENATE("R7C",'Mapa final'!$O$23),"")</f>
        <v/>
      </c>
      <c r="M42" s="77" t="str">
        <f>IF(AND('Mapa final'!$Y$24="Baja",'Mapa final'!$AA$24="Leve"),CONCATENATE("R7C",'Mapa final'!$O$24),"")</f>
        <v/>
      </c>
      <c r="N42" s="77" t="str">
        <f>IF(AND('Mapa final'!$Y$25="Baja",'Mapa final'!$AA$25="Leve"),CONCATENATE("R7C",'Mapa final'!$O$25),"")</f>
        <v/>
      </c>
      <c r="O42" s="78" t="str">
        <f>IF(AND('Mapa final'!$Y$26="Baja",'Mapa final'!$AA$26="Leve"),CONCATENATE("R7C",'Mapa final'!$O$26),"")</f>
        <v/>
      </c>
      <c r="P42" s="67" t="str">
        <f>IF(AND('Mapa final'!$Y$21="Baja",'Mapa final'!$AA$21="Menor"),CONCATENATE("R7C",'Mapa final'!$O$21),"")</f>
        <v/>
      </c>
      <c r="Q42" s="68" t="str">
        <f>IF(AND('Mapa final'!$Y$22="Baja",'Mapa final'!$AA$22="Menor"),CONCATENATE("R7C",'Mapa final'!$O$22),"")</f>
        <v/>
      </c>
      <c r="R42" s="68" t="str">
        <f>IF(AND('Mapa final'!$Y$23="Baja",'Mapa final'!$AA$23="Menor"),CONCATENATE("R7C",'Mapa final'!$O$23),"")</f>
        <v/>
      </c>
      <c r="S42" s="68" t="str">
        <f>IF(AND('Mapa final'!$Y$24="Baja",'Mapa final'!$AA$24="Menor"),CONCATENATE("R7C",'Mapa final'!$O$24),"")</f>
        <v/>
      </c>
      <c r="T42" s="68" t="str">
        <f>IF(AND('Mapa final'!$Y$25="Baja",'Mapa final'!$AA$25="Menor"),CONCATENATE("R7C",'Mapa final'!$O$25),"")</f>
        <v/>
      </c>
      <c r="U42" s="69" t="str">
        <f>IF(AND('Mapa final'!$Y$26="Baja",'Mapa final'!$AA$26="Menor"),CONCATENATE("R7C",'Mapa final'!$O$26),"")</f>
        <v/>
      </c>
      <c r="V42" s="67" t="str">
        <f>IF(AND('Mapa final'!$Y$21="Baja",'Mapa final'!$AA$21="Moderado"),CONCATENATE("R7C",'Mapa final'!$O$21),"")</f>
        <v/>
      </c>
      <c r="W42" s="68" t="str">
        <f>IF(AND('Mapa final'!$Y$22="Baja",'Mapa final'!$AA$22="Moderado"),CONCATENATE("R7C",'Mapa final'!$O$22),"")</f>
        <v/>
      </c>
      <c r="X42" s="68" t="str">
        <f>IF(AND('Mapa final'!$Y$23="Baja",'Mapa final'!$AA$23="Moderado"),CONCATENATE("R7C",'Mapa final'!$O$23),"")</f>
        <v/>
      </c>
      <c r="Y42" s="68" t="str">
        <f>IF(AND('Mapa final'!$Y$24="Baja",'Mapa final'!$AA$24="Moderado"),CONCATENATE("R7C",'Mapa final'!$O$24),"")</f>
        <v/>
      </c>
      <c r="Z42" s="68" t="str">
        <f>IF(AND('Mapa final'!$Y$25="Baja",'Mapa final'!$AA$25="Moderado"),CONCATENATE("R7C",'Mapa final'!$O$25),"")</f>
        <v/>
      </c>
      <c r="AA42" s="69" t="str">
        <f>IF(AND('Mapa final'!$Y$26="Baja",'Mapa final'!$AA$26="Moderado"),CONCATENATE("R7C",'Mapa final'!$O$26),"")</f>
        <v/>
      </c>
      <c r="AB42" s="52" t="str">
        <f>IF(AND('Mapa final'!$Y$21="Baja",'Mapa final'!$AA$21="Mayor"),CONCATENATE("R7C",'Mapa final'!$O$21),"")</f>
        <v/>
      </c>
      <c r="AC42" s="53" t="str">
        <f>IF(AND('Mapa final'!$Y$22="Baja",'Mapa final'!$AA$22="Mayor"),CONCATENATE("R7C",'Mapa final'!$O$22),"")</f>
        <v/>
      </c>
      <c r="AD42" s="53" t="str">
        <f>IF(AND('Mapa final'!$Y$23="Baja",'Mapa final'!$AA$23="Mayor"),CONCATENATE("R7C",'Mapa final'!$O$23),"")</f>
        <v/>
      </c>
      <c r="AE42" s="53" t="str">
        <f>IF(AND('Mapa final'!$Y$24="Baja",'Mapa final'!$AA$24="Mayor"),CONCATENATE("R7C",'Mapa final'!$O$24),"")</f>
        <v/>
      </c>
      <c r="AF42" s="53" t="str">
        <f>IF(AND('Mapa final'!$Y$25="Baja",'Mapa final'!$AA$25="Mayor"),CONCATENATE("R7C",'Mapa final'!$O$25),"")</f>
        <v/>
      </c>
      <c r="AG42" s="54" t="str">
        <f>IF(AND('Mapa final'!$Y$26="Baja",'Mapa final'!$AA$26="Mayor"),CONCATENATE("R7C",'Mapa final'!$O$26),"")</f>
        <v/>
      </c>
      <c r="AH42" s="55" t="str">
        <f>IF(AND('Mapa final'!$Y$21="Baja",'Mapa final'!$AA$21="Catastrófico"),CONCATENATE("R7C",'Mapa final'!$O$21),"")</f>
        <v/>
      </c>
      <c r="AI42" s="56" t="str">
        <f>IF(AND('Mapa final'!$Y$22="Baja",'Mapa final'!$AA$22="Catastrófico"),CONCATENATE("R7C",'Mapa final'!$O$22),"")</f>
        <v/>
      </c>
      <c r="AJ42" s="56" t="str">
        <f>IF(AND('Mapa final'!$Y$23="Baja",'Mapa final'!$AA$23="Catastrófico"),CONCATENATE("R7C",'Mapa final'!$O$23),"")</f>
        <v/>
      </c>
      <c r="AK42" s="56" t="str">
        <f>IF(AND('Mapa final'!$Y$24="Baja",'Mapa final'!$AA$24="Catastrófico"),CONCATENATE("R7C",'Mapa final'!$O$24),"")</f>
        <v/>
      </c>
      <c r="AL42" s="56" t="str">
        <f>IF(AND('Mapa final'!$Y$25="Baja",'Mapa final'!$AA$25="Catastrófico"),CONCATENATE("R7C",'Mapa final'!$O$25),"")</f>
        <v/>
      </c>
      <c r="AM42" s="57" t="str">
        <f>IF(AND('Mapa final'!$Y$26="Baja",'Mapa final'!$AA$26="Catastrófico"),CONCATENATE("R7C",'Mapa final'!$O$26),"")</f>
        <v/>
      </c>
      <c r="AN42" s="83"/>
      <c r="AO42" s="372"/>
      <c r="AP42" s="373"/>
      <c r="AQ42" s="373"/>
      <c r="AR42" s="373"/>
      <c r="AS42" s="373"/>
      <c r="AT42" s="374"/>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53"/>
      <c r="C43" s="253"/>
      <c r="D43" s="254"/>
      <c r="E43" s="352"/>
      <c r="F43" s="351"/>
      <c r="G43" s="351"/>
      <c r="H43" s="351"/>
      <c r="I43" s="351"/>
      <c r="J43" s="76" t="str">
        <f>IF(AND('Mapa final'!$Y$27="Baja",'Mapa final'!$AA$27="Leve"),CONCATENATE("R8C",'Mapa final'!$O$27),"")</f>
        <v/>
      </c>
      <c r="K43" s="77" t="str">
        <f>IF(AND('Mapa final'!$Y$28="Baja",'Mapa final'!$AA$28="Leve"),CONCATENATE("R8C",'Mapa final'!$O$28),"")</f>
        <v/>
      </c>
      <c r="L43" s="77" t="str">
        <f>IF(AND('Mapa final'!$Y$29="Baja",'Mapa final'!$AA$29="Leve"),CONCATENATE("R8C",'Mapa final'!$O$29),"")</f>
        <v/>
      </c>
      <c r="M43" s="77" t="str">
        <f>IF(AND('Mapa final'!$Y$30="Baja",'Mapa final'!$AA$30="Leve"),CONCATENATE("R8C",'Mapa final'!$O$30),"")</f>
        <v/>
      </c>
      <c r="N43" s="77" t="str">
        <f>IF(AND('Mapa final'!$Y$31="Baja",'Mapa final'!$AA$31="Leve"),CONCATENATE("R8C",'Mapa final'!$O$31),"")</f>
        <v/>
      </c>
      <c r="O43" s="78" t="str">
        <f>IF(AND('Mapa final'!$Y$32="Baja",'Mapa final'!$AA$32="Leve"),CONCATENATE("R8C",'Mapa final'!$O$32),"")</f>
        <v/>
      </c>
      <c r="P43" s="67" t="str">
        <f>IF(AND('Mapa final'!$Y$27="Baja",'Mapa final'!$AA$27="Menor"),CONCATENATE("R8C",'Mapa final'!$O$27),"")</f>
        <v/>
      </c>
      <c r="Q43" s="68" t="str">
        <f>IF(AND('Mapa final'!$Y$28="Baja",'Mapa final'!$AA$28="Menor"),CONCATENATE("R8C",'Mapa final'!$O$28),"")</f>
        <v/>
      </c>
      <c r="R43" s="68" t="str">
        <f>IF(AND('Mapa final'!$Y$29="Baja",'Mapa final'!$AA$29="Menor"),CONCATENATE("R8C",'Mapa final'!$O$29),"")</f>
        <v/>
      </c>
      <c r="S43" s="68" t="str">
        <f>IF(AND('Mapa final'!$Y$30="Baja",'Mapa final'!$AA$30="Menor"),CONCATENATE("R8C",'Mapa final'!$O$30),"")</f>
        <v/>
      </c>
      <c r="T43" s="68" t="str">
        <f>IF(AND('Mapa final'!$Y$31="Baja",'Mapa final'!$AA$31="Menor"),CONCATENATE("R8C",'Mapa final'!$O$31),"")</f>
        <v/>
      </c>
      <c r="U43" s="69" t="str">
        <f>IF(AND('Mapa final'!$Y$32="Baja",'Mapa final'!$AA$32="Menor"),CONCATENATE("R8C",'Mapa final'!$O$32),"")</f>
        <v/>
      </c>
      <c r="V43" s="67" t="str">
        <f>IF(AND('Mapa final'!$Y$27="Baja",'Mapa final'!$AA$27="Moderado"),CONCATENATE("R8C",'Mapa final'!$O$27),"")</f>
        <v/>
      </c>
      <c r="W43" s="68" t="str">
        <f>IF(AND('Mapa final'!$Y$28="Baja",'Mapa final'!$AA$28="Moderado"),CONCATENATE("R8C",'Mapa final'!$O$28),"")</f>
        <v/>
      </c>
      <c r="X43" s="68" t="str">
        <f>IF(AND('Mapa final'!$Y$29="Baja",'Mapa final'!$AA$29="Moderado"),CONCATENATE("R8C",'Mapa final'!$O$29),"")</f>
        <v/>
      </c>
      <c r="Y43" s="68" t="str">
        <f>IF(AND('Mapa final'!$Y$30="Baja",'Mapa final'!$AA$30="Moderado"),CONCATENATE("R8C",'Mapa final'!$O$30),"")</f>
        <v/>
      </c>
      <c r="Z43" s="68" t="str">
        <f>IF(AND('Mapa final'!$Y$31="Baja",'Mapa final'!$AA$31="Moderado"),CONCATENATE("R8C",'Mapa final'!$O$31),"")</f>
        <v/>
      </c>
      <c r="AA43" s="69" t="str">
        <f>IF(AND('Mapa final'!$Y$32="Baja",'Mapa final'!$AA$32="Moderado"),CONCATENATE("R8C",'Mapa final'!$O$32),"")</f>
        <v/>
      </c>
      <c r="AB43" s="52" t="str">
        <f>IF(AND('Mapa final'!$Y$27="Baja",'Mapa final'!$AA$27="Mayor"),CONCATENATE("R8C",'Mapa final'!$O$27),"")</f>
        <v/>
      </c>
      <c r="AC43" s="53" t="str">
        <f>IF(AND('Mapa final'!$Y$28="Baja",'Mapa final'!$AA$28="Mayor"),CONCATENATE("R8C",'Mapa final'!$O$28),"")</f>
        <v/>
      </c>
      <c r="AD43" s="53" t="str">
        <f>IF(AND('Mapa final'!$Y$29="Baja",'Mapa final'!$AA$29="Mayor"),CONCATENATE("R8C",'Mapa final'!$O$29),"")</f>
        <v/>
      </c>
      <c r="AE43" s="53" t="str">
        <f>IF(AND('Mapa final'!$Y$30="Baja",'Mapa final'!$AA$30="Mayor"),CONCATENATE("R8C",'Mapa final'!$O$30),"")</f>
        <v/>
      </c>
      <c r="AF43" s="53" t="str">
        <f>IF(AND('Mapa final'!$Y$31="Baja",'Mapa final'!$AA$31="Mayor"),CONCATENATE("R8C",'Mapa final'!$O$31),"")</f>
        <v/>
      </c>
      <c r="AG43" s="54" t="str">
        <f>IF(AND('Mapa final'!$Y$32="Baja",'Mapa final'!$AA$32="Mayor"),CONCATENATE("R8C",'Mapa final'!$O$32),"")</f>
        <v/>
      </c>
      <c r="AH43" s="55" t="str">
        <f>IF(AND('Mapa final'!$Y$27="Baja",'Mapa final'!$AA$27="Catastrófico"),CONCATENATE("R8C",'Mapa final'!$O$27),"")</f>
        <v/>
      </c>
      <c r="AI43" s="56" t="str">
        <f>IF(AND('Mapa final'!$Y$28="Baja",'Mapa final'!$AA$28="Catastrófico"),CONCATENATE("R8C",'Mapa final'!$O$28),"")</f>
        <v/>
      </c>
      <c r="AJ43" s="56" t="str">
        <f>IF(AND('Mapa final'!$Y$29="Baja",'Mapa final'!$AA$29="Catastrófico"),CONCATENATE("R8C",'Mapa final'!$O$29),"")</f>
        <v/>
      </c>
      <c r="AK43" s="56" t="str">
        <f>IF(AND('Mapa final'!$Y$30="Baja",'Mapa final'!$AA$30="Catastrófico"),CONCATENATE("R8C",'Mapa final'!$O$30),"")</f>
        <v/>
      </c>
      <c r="AL43" s="56" t="str">
        <f>IF(AND('Mapa final'!$Y$31="Baja",'Mapa final'!$AA$31="Catastrófico"),CONCATENATE("R8C",'Mapa final'!$O$31),"")</f>
        <v/>
      </c>
      <c r="AM43" s="57" t="str">
        <f>IF(AND('Mapa final'!$Y$32="Baja",'Mapa final'!$AA$32="Catastrófico"),CONCATENATE("R8C",'Mapa final'!$O$32),"")</f>
        <v/>
      </c>
      <c r="AN43" s="83"/>
      <c r="AO43" s="372"/>
      <c r="AP43" s="373"/>
      <c r="AQ43" s="373"/>
      <c r="AR43" s="373"/>
      <c r="AS43" s="373"/>
      <c r="AT43" s="374"/>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53"/>
      <c r="C44" s="253"/>
      <c r="D44" s="254"/>
      <c r="E44" s="352"/>
      <c r="F44" s="351"/>
      <c r="G44" s="351"/>
      <c r="H44" s="351"/>
      <c r="I44" s="351"/>
      <c r="J44" s="76" t="str">
        <f>IF(AND('Mapa final'!$Y$33="Baja",'Mapa final'!$AA$33="Leve"),CONCATENATE("R9C",'Mapa final'!$O$33),"")</f>
        <v/>
      </c>
      <c r="K44" s="77" t="str">
        <f>IF(AND('Mapa final'!$Y$34="Baja",'Mapa final'!$AA$34="Leve"),CONCATENATE("R9C",'Mapa final'!$O$34),"")</f>
        <v/>
      </c>
      <c r="L44" s="77" t="str">
        <f>IF(AND('Mapa final'!$Y$35="Baja",'Mapa final'!$AA$35="Leve"),CONCATENATE("R9C",'Mapa final'!$O$35),"")</f>
        <v/>
      </c>
      <c r="M44" s="77" t="str">
        <f>IF(AND('Mapa final'!$Y$36="Baja",'Mapa final'!$AA$36="Leve"),CONCATENATE("R9C",'Mapa final'!$O$36),"")</f>
        <v/>
      </c>
      <c r="N44" s="77" t="str">
        <f>IF(AND('Mapa final'!$Y$37="Baja",'Mapa final'!$AA$37="Leve"),CONCATENATE("R9C",'Mapa final'!$O$37),"")</f>
        <v/>
      </c>
      <c r="O44" s="78" t="str">
        <f>IF(AND('Mapa final'!$Y$38="Baja",'Mapa final'!$AA$38="Leve"),CONCATENATE("R9C",'Mapa final'!$O$38),"")</f>
        <v/>
      </c>
      <c r="P44" s="67" t="str">
        <f>IF(AND('Mapa final'!$Y$33="Baja",'Mapa final'!$AA$33="Menor"),CONCATENATE("R9C",'Mapa final'!$O$33),"")</f>
        <v/>
      </c>
      <c r="Q44" s="68" t="str">
        <f>IF(AND('Mapa final'!$Y$34="Baja",'Mapa final'!$AA$34="Menor"),CONCATENATE("R9C",'Mapa final'!$O$34),"")</f>
        <v/>
      </c>
      <c r="R44" s="68" t="str">
        <f>IF(AND('Mapa final'!$Y$35="Baja",'Mapa final'!$AA$35="Menor"),CONCATENATE("R9C",'Mapa final'!$O$35),"")</f>
        <v/>
      </c>
      <c r="S44" s="68" t="str">
        <f>IF(AND('Mapa final'!$Y$36="Baja",'Mapa final'!$AA$36="Menor"),CONCATENATE("R9C",'Mapa final'!$O$36),"")</f>
        <v/>
      </c>
      <c r="T44" s="68" t="str">
        <f>IF(AND('Mapa final'!$Y$37="Baja",'Mapa final'!$AA$37="Menor"),CONCATENATE("R9C",'Mapa final'!$O$37),"")</f>
        <v/>
      </c>
      <c r="U44" s="69" t="str">
        <f>IF(AND('Mapa final'!$Y$38="Baja",'Mapa final'!$AA$38="Menor"),CONCATENATE("R9C",'Mapa final'!$O$38),"")</f>
        <v/>
      </c>
      <c r="V44" s="67" t="str">
        <f>IF(AND('Mapa final'!$Y$33="Baja",'Mapa final'!$AA$33="Moderado"),CONCATENATE("R9C",'Mapa final'!$O$33),"")</f>
        <v/>
      </c>
      <c r="W44" s="68" t="str">
        <f>IF(AND('Mapa final'!$Y$34="Baja",'Mapa final'!$AA$34="Moderado"),CONCATENATE("R9C",'Mapa final'!$O$34),"")</f>
        <v/>
      </c>
      <c r="X44" s="68" t="str">
        <f>IF(AND('Mapa final'!$Y$35="Baja",'Mapa final'!$AA$35="Moderado"),CONCATENATE("R9C",'Mapa final'!$O$35),"")</f>
        <v/>
      </c>
      <c r="Y44" s="68" t="str">
        <f>IF(AND('Mapa final'!$Y$36="Baja",'Mapa final'!$AA$36="Moderado"),CONCATENATE("R9C",'Mapa final'!$O$36),"")</f>
        <v/>
      </c>
      <c r="Z44" s="68" t="str">
        <f>IF(AND('Mapa final'!$Y$37="Baja",'Mapa final'!$AA$37="Moderado"),CONCATENATE("R9C",'Mapa final'!$O$37),"")</f>
        <v/>
      </c>
      <c r="AA44" s="69" t="str">
        <f>IF(AND('Mapa final'!$Y$38="Baja",'Mapa final'!$AA$38="Moderado"),CONCATENATE("R9C",'Mapa final'!$O$38),"")</f>
        <v/>
      </c>
      <c r="AB44" s="52" t="str">
        <f>IF(AND('Mapa final'!$Y$33="Baja",'Mapa final'!$AA$33="Mayor"),CONCATENATE("R9C",'Mapa final'!$O$33),"")</f>
        <v/>
      </c>
      <c r="AC44" s="53" t="str">
        <f>IF(AND('Mapa final'!$Y$34="Baja",'Mapa final'!$AA$34="Mayor"),CONCATENATE("R9C",'Mapa final'!$O$34),"")</f>
        <v/>
      </c>
      <c r="AD44" s="53" t="str">
        <f>IF(AND('Mapa final'!$Y$35="Baja",'Mapa final'!$AA$35="Mayor"),CONCATENATE("R9C",'Mapa final'!$O$35),"")</f>
        <v/>
      </c>
      <c r="AE44" s="53" t="str">
        <f>IF(AND('Mapa final'!$Y$36="Baja",'Mapa final'!$AA$36="Mayor"),CONCATENATE("R9C",'Mapa final'!$O$36),"")</f>
        <v/>
      </c>
      <c r="AF44" s="53" t="str">
        <f>IF(AND('Mapa final'!$Y$37="Baja",'Mapa final'!$AA$37="Mayor"),CONCATENATE("R9C",'Mapa final'!$O$37),"")</f>
        <v/>
      </c>
      <c r="AG44" s="54" t="str">
        <f>IF(AND('Mapa final'!$Y$38="Baja",'Mapa final'!$AA$38="Mayor"),CONCATENATE("R9C",'Mapa final'!$O$38),"")</f>
        <v/>
      </c>
      <c r="AH44" s="55" t="str">
        <f>IF(AND('Mapa final'!$Y$33="Baja",'Mapa final'!$AA$33="Catastrófico"),CONCATENATE("R9C",'Mapa final'!$O$33),"")</f>
        <v/>
      </c>
      <c r="AI44" s="56" t="str">
        <f>IF(AND('Mapa final'!$Y$34="Baja",'Mapa final'!$AA$34="Catastrófico"),CONCATENATE("R9C",'Mapa final'!$O$34),"")</f>
        <v/>
      </c>
      <c r="AJ44" s="56" t="str">
        <f>IF(AND('Mapa final'!$Y$35="Baja",'Mapa final'!$AA$35="Catastrófico"),CONCATENATE("R9C",'Mapa final'!$O$35),"")</f>
        <v/>
      </c>
      <c r="AK44" s="56" t="str">
        <f>IF(AND('Mapa final'!$Y$36="Baja",'Mapa final'!$AA$36="Catastrófico"),CONCATENATE("R9C",'Mapa final'!$O$36),"")</f>
        <v/>
      </c>
      <c r="AL44" s="56" t="str">
        <f>IF(AND('Mapa final'!$Y$37="Baja",'Mapa final'!$AA$37="Catastrófico"),CONCATENATE("R9C",'Mapa final'!$O$37),"")</f>
        <v/>
      </c>
      <c r="AM44" s="57" t="str">
        <f>IF(AND('Mapa final'!$Y$38="Baja",'Mapa final'!$AA$38="Catastrófico"),CONCATENATE("R9C",'Mapa final'!$O$38),"")</f>
        <v/>
      </c>
      <c r="AN44" s="83"/>
      <c r="AO44" s="372"/>
      <c r="AP44" s="373"/>
      <c r="AQ44" s="373"/>
      <c r="AR44" s="373"/>
      <c r="AS44" s="373"/>
      <c r="AT44" s="374"/>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53"/>
      <c r="C45" s="253"/>
      <c r="D45" s="254"/>
      <c r="E45" s="353"/>
      <c r="F45" s="354"/>
      <c r="G45" s="354"/>
      <c r="H45" s="354"/>
      <c r="I45" s="354"/>
      <c r="J45" s="79" t="str">
        <f>IF(AND('Mapa final'!$Y$39="Baja",'Mapa final'!$AA$39="Leve"),CONCATENATE("R10C",'Mapa final'!$O$39),"")</f>
        <v/>
      </c>
      <c r="K45" s="80" t="str">
        <f>IF(AND('Mapa final'!$Y$40="Baja",'Mapa final'!$AA$40="Leve"),CONCATENATE("R10C",'Mapa final'!$O$40),"")</f>
        <v/>
      </c>
      <c r="L45" s="80" t="str">
        <f>IF(AND('Mapa final'!$Y$41="Baja",'Mapa final'!$AA$41="Leve"),CONCATENATE("R10C",'Mapa final'!$O$41),"")</f>
        <v/>
      </c>
      <c r="M45" s="80" t="str">
        <f>IF(AND('Mapa final'!$Y$42="Baja",'Mapa final'!$AA$42="Leve"),CONCATENATE("R10C",'Mapa final'!$O$42),"")</f>
        <v/>
      </c>
      <c r="N45" s="80" t="str">
        <f>IF(AND('Mapa final'!$Y$43="Baja",'Mapa final'!$AA$43="Leve"),CONCATENATE("R10C",'Mapa final'!$O$43),"")</f>
        <v/>
      </c>
      <c r="O45" s="81" t="str">
        <f>IF(AND('Mapa final'!$Y$44="Baja",'Mapa final'!$AA$44="Leve"),CONCATENATE("R10C",'Mapa final'!$O$44),"")</f>
        <v/>
      </c>
      <c r="P45" s="67" t="str">
        <f>IF(AND('Mapa final'!$Y$39="Baja",'Mapa final'!$AA$39="Menor"),CONCATENATE("R10C",'Mapa final'!$O$39),"")</f>
        <v/>
      </c>
      <c r="Q45" s="68" t="str">
        <f>IF(AND('Mapa final'!$Y$40="Baja",'Mapa final'!$AA$40="Menor"),CONCATENATE("R10C",'Mapa final'!$O$40),"")</f>
        <v/>
      </c>
      <c r="R45" s="68" t="str">
        <f>IF(AND('Mapa final'!$Y$41="Baja",'Mapa final'!$AA$41="Menor"),CONCATENATE("R10C",'Mapa final'!$O$41),"")</f>
        <v/>
      </c>
      <c r="S45" s="68" t="str">
        <f>IF(AND('Mapa final'!$Y$42="Baja",'Mapa final'!$AA$42="Menor"),CONCATENATE("R10C",'Mapa final'!$O$42),"")</f>
        <v/>
      </c>
      <c r="T45" s="68" t="str">
        <f>IF(AND('Mapa final'!$Y$43="Baja",'Mapa final'!$AA$43="Menor"),CONCATENATE("R10C",'Mapa final'!$O$43),"")</f>
        <v/>
      </c>
      <c r="U45" s="69" t="str">
        <f>IF(AND('Mapa final'!$Y$44="Baja",'Mapa final'!$AA$44="Menor"),CONCATENATE("R10C",'Mapa final'!$O$44),"")</f>
        <v/>
      </c>
      <c r="V45" s="70" t="str">
        <f>IF(AND('Mapa final'!$Y$39="Baja",'Mapa final'!$AA$39="Moderado"),CONCATENATE("R10C",'Mapa final'!$O$39),"")</f>
        <v/>
      </c>
      <c r="W45" s="71" t="str">
        <f>IF(AND('Mapa final'!$Y$40="Baja",'Mapa final'!$AA$40="Moderado"),CONCATENATE("R10C",'Mapa final'!$O$40),"")</f>
        <v/>
      </c>
      <c r="X45" s="71" t="str">
        <f>IF(AND('Mapa final'!$Y$41="Baja",'Mapa final'!$AA$41="Moderado"),CONCATENATE("R10C",'Mapa final'!$O$41),"")</f>
        <v/>
      </c>
      <c r="Y45" s="71" t="str">
        <f>IF(AND('Mapa final'!$Y$42="Baja",'Mapa final'!$AA$42="Moderado"),CONCATENATE("R10C",'Mapa final'!$O$42),"")</f>
        <v/>
      </c>
      <c r="Z45" s="71" t="str">
        <f>IF(AND('Mapa final'!$Y$43="Baja",'Mapa final'!$AA$43="Moderado"),CONCATENATE("R10C",'Mapa final'!$O$43),"")</f>
        <v/>
      </c>
      <c r="AA45" s="72" t="str">
        <f>IF(AND('Mapa final'!$Y$44="Baja",'Mapa final'!$AA$44="Moderado"),CONCATENATE("R10C",'Mapa final'!$O$44),"")</f>
        <v/>
      </c>
      <c r="AB45" s="58" t="str">
        <f>IF(AND('Mapa final'!$Y$39="Baja",'Mapa final'!$AA$39="Mayor"),CONCATENATE("R10C",'Mapa final'!$O$39),"")</f>
        <v/>
      </c>
      <c r="AC45" s="59" t="str">
        <f>IF(AND('Mapa final'!$Y$40="Baja",'Mapa final'!$AA$40="Mayor"),CONCATENATE("R10C",'Mapa final'!$O$40),"")</f>
        <v/>
      </c>
      <c r="AD45" s="59" t="str">
        <f>IF(AND('Mapa final'!$Y$41="Baja",'Mapa final'!$AA$41="Mayor"),CONCATENATE("R10C",'Mapa final'!$O$41),"")</f>
        <v/>
      </c>
      <c r="AE45" s="59" t="str">
        <f>IF(AND('Mapa final'!$Y$42="Baja",'Mapa final'!$AA$42="Mayor"),CONCATENATE("R10C",'Mapa final'!$O$42),"")</f>
        <v/>
      </c>
      <c r="AF45" s="59" t="str">
        <f>IF(AND('Mapa final'!$Y$43="Baja",'Mapa final'!$AA$43="Mayor"),CONCATENATE("R10C",'Mapa final'!$O$43),"")</f>
        <v/>
      </c>
      <c r="AG45" s="60" t="str">
        <f>IF(AND('Mapa final'!$Y$44="Baja",'Mapa final'!$AA$44="Mayor"),CONCATENATE("R10C",'Mapa final'!$O$44),"")</f>
        <v/>
      </c>
      <c r="AH45" s="61" t="str">
        <f>IF(AND('Mapa final'!$Y$39="Baja",'Mapa final'!$AA$39="Catastrófico"),CONCATENATE("R10C",'Mapa final'!$O$39),"")</f>
        <v/>
      </c>
      <c r="AI45" s="62" t="str">
        <f>IF(AND('Mapa final'!$Y$40="Baja",'Mapa final'!$AA$40="Catastrófico"),CONCATENATE("R10C",'Mapa final'!$O$40),"")</f>
        <v/>
      </c>
      <c r="AJ45" s="62" t="str">
        <f>IF(AND('Mapa final'!$Y$41="Baja",'Mapa final'!$AA$41="Catastrófico"),CONCATENATE("R10C",'Mapa final'!$O$41),"")</f>
        <v/>
      </c>
      <c r="AK45" s="62" t="str">
        <f>IF(AND('Mapa final'!$Y$42="Baja",'Mapa final'!$AA$42="Catastrófico"),CONCATENATE("R10C",'Mapa final'!$O$42),"")</f>
        <v/>
      </c>
      <c r="AL45" s="62" t="str">
        <f>IF(AND('Mapa final'!$Y$43="Baja",'Mapa final'!$AA$43="Catastrófico"),CONCATENATE("R10C",'Mapa final'!$O$43),"")</f>
        <v/>
      </c>
      <c r="AM45" s="63" t="str">
        <f>IF(AND('Mapa final'!$Y$44="Baja",'Mapa final'!$AA$44="Catastrófico"),CONCATENATE("R10C",'Mapa final'!$O$44),"")</f>
        <v/>
      </c>
      <c r="AN45" s="83"/>
      <c r="AO45" s="375"/>
      <c r="AP45" s="376"/>
      <c r="AQ45" s="376"/>
      <c r="AR45" s="376"/>
      <c r="AS45" s="376"/>
      <c r="AT45" s="377"/>
    </row>
    <row r="46" spans="1:80" ht="46.5" customHeight="1" x14ac:dyDescent="0.35">
      <c r="A46" s="83"/>
      <c r="B46" s="253"/>
      <c r="C46" s="253"/>
      <c r="D46" s="254"/>
      <c r="E46" s="348" t="s">
        <v>113</v>
      </c>
      <c r="F46" s="349"/>
      <c r="G46" s="349"/>
      <c r="H46" s="349"/>
      <c r="I46" s="366"/>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53"/>
      <c r="C47" s="253"/>
      <c r="D47" s="254"/>
      <c r="E47" s="350"/>
      <c r="F47" s="351"/>
      <c r="G47" s="351"/>
      <c r="H47" s="351"/>
      <c r="I47" s="367"/>
      <c r="J47" s="76" t="str">
        <f>IF(AND('Mapa final'!$Y$11="Muy Baja",'Mapa final'!$AA$11="Leve"),CONCATENATE("R2C",'Mapa final'!$O$11),"")</f>
        <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str">
        <f>IF(AND('Mapa final'!$Y$11="Muy Baja",'Mapa final'!$AA$11="Menor"),CONCATENATE("R2C",'Mapa final'!$O$11),"")</f>
        <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str">
        <f>IF(AND('Mapa final'!$Y$11="Muy Baja",'Mapa final'!$AA$11="Moderado"),CONCATENATE("R2C",'Mapa final'!$O$11),"")</f>
        <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53"/>
      <c r="C48" s="253"/>
      <c r="D48" s="254"/>
      <c r="E48" s="350"/>
      <c r="F48" s="351"/>
      <c r="G48" s="351"/>
      <c r="H48" s="351"/>
      <c r="I48" s="367"/>
      <c r="J48" s="76" t="str">
        <f>IF(AND('Mapa final'!$Y$12="Muy Baja",'Mapa final'!$AA$12="Leve"),CONCATENATE("R3C",'Mapa final'!$O$12),"")</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final'!$Y$12="Muy Baja",'Mapa final'!$AA$12="Menor"),CONCATENATE("R3C",'Mapa final'!$O$12),"")</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final'!$Y$12="Muy Baja",'Mapa final'!$AA$12="Moderado"),CONCATENATE("R3C",'Mapa final'!$O$12),"")</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53"/>
      <c r="C49" s="253"/>
      <c r="D49" s="254"/>
      <c r="E49" s="352"/>
      <c r="F49" s="351"/>
      <c r="G49" s="351"/>
      <c r="H49" s="351"/>
      <c r="I49" s="367"/>
      <c r="J49" s="76" t="str">
        <f>IF(AND('Mapa final'!$Y$13="Muy Baja",'Mapa final'!$AA$13="Leve"),CONCATENATE("R4C",'Mapa final'!$O$13),"")</f>
        <v/>
      </c>
      <c r="K49" s="77" t="e">
        <f>IF(AND('Mapa final'!#REF!="Muy Baja",'Mapa final'!#REF!="Leve"),CONCATENATE("R4C",'Mapa final'!#REF!),"")</f>
        <v>#REF!</v>
      </c>
      <c r="L49" s="77" t="e">
        <f>IF(AND('Mapa final'!#REF!="Muy Baja",'Mapa final'!#REF!="Leve"),CONCATENATE("R4C",'Mapa final'!#REF!),"")</f>
        <v>#REF!</v>
      </c>
      <c r="M49" s="77" t="e">
        <f>IF(AND('Mapa final'!#REF!="Muy Baja",'Mapa final'!#REF!="Leve"),CONCATENATE("R4C",'Mapa final'!#REF!),"")</f>
        <v>#REF!</v>
      </c>
      <c r="N49" s="77" t="e">
        <f>IF(AND('Mapa final'!#REF!="Muy Baja",'Mapa final'!#REF!="Leve"),CONCATENATE("R4C",'Mapa final'!#REF!),"")</f>
        <v>#REF!</v>
      </c>
      <c r="O49" s="78" t="e">
        <f>IF(AND('Mapa final'!#REF!="Muy Baja",'Mapa final'!#REF!="Leve"),CONCATENATE("R4C",'Mapa final'!#REF!),"")</f>
        <v>#REF!</v>
      </c>
      <c r="P49" s="76" t="str">
        <f>IF(AND('Mapa final'!$Y$13="Muy Baja",'Mapa final'!$AA$13="Menor"),CONCATENATE("R4C",'Mapa final'!$O$13),"")</f>
        <v/>
      </c>
      <c r="Q49" s="77" t="e">
        <f>IF(AND('Mapa final'!#REF!="Muy Baja",'Mapa final'!#REF!="Menor"),CONCATENATE("R4C",'Mapa final'!#REF!),"")</f>
        <v>#REF!</v>
      </c>
      <c r="R49" s="77" t="e">
        <f>IF(AND('Mapa final'!#REF!="Muy Baja",'Mapa final'!#REF!="Menor"),CONCATENATE("R4C",'Mapa final'!#REF!),"")</f>
        <v>#REF!</v>
      </c>
      <c r="S49" s="77" t="e">
        <f>IF(AND('Mapa final'!#REF!="Muy Baja",'Mapa final'!#REF!="Menor"),CONCATENATE("R4C",'Mapa final'!#REF!),"")</f>
        <v>#REF!</v>
      </c>
      <c r="T49" s="77" t="e">
        <f>IF(AND('Mapa final'!#REF!="Muy Baja",'Mapa final'!#REF!="Menor"),CONCATENATE("R4C",'Mapa final'!#REF!),"")</f>
        <v>#REF!</v>
      </c>
      <c r="U49" s="78" t="e">
        <f>IF(AND('Mapa final'!#REF!="Muy Baja",'Mapa final'!#REF!="Menor"),CONCATENATE("R4C",'Mapa final'!#REF!),"")</f>
        <v>#REF!</v>
      </c>
      <c r="V49" s="67" t="str">
        <f>IF(AND('Mapa final'!$Y$13="Muy Baja",'Mapa final'!$AA$13="Moderado"),CONCATENATE("R4C",'Mapa final'!$O$13),"")</f>
        <v/>
      </c>
      <c r="W49" s="68" t="e">
        <f>IF(AND('Mapa final'!#REF!="Muy Baja",'Mapa final'!#REF!="Moderado"),CONCATENATE("R4C",'Mapa final'!#REF!),"")</f>
        <v>#REF!</v>
      </c>
      <c r="X49" s="68" t="e">
        <f>IF(AND('Mapa final'!#REF!="Muy Baja",'Mapa final'!#REF!="Moderado"),CONCATENATE("R4C",'Mapa final'!#REF!),"")</f>
        <v>#REF!</v>
      </c>
      <c r="Y49" s="68" t="e">
        <f>IF(AND('Mapa final'!#REF!="Muy Baja",'Mapa final'!#REF!="Moderado"),CONCATENATE("R4C",'Mapa final'!#REF!),"")</f>
        <v>#REF!</v>
      </c>
      <c r="Z49" s="68" t="e">
        <f>IF(AND('Mapa final'!#REF!="Muy Baja",'Mapa final'!#REF!="Moderado"),CONCATENATE("R4C",'Mapa final'!#REF!),"")</f>
        <v>#REF!</v>
      </c>
      <c r="AA49" s="69" t="e">
        <f>IF(AND('Mapa final'!#REF!="Muy Baja",'Mapa final'!#REF!="Moderado"),CONCATENATE("R4C",'Mapa final'!#REF!),"")</f>
        <v>#REF!</v>
      </c>
      <c r="AB49" s="52" t="str">
        <f>IF(AND('Mapa final'!$Y$13="Muy Baja",'Mapa final'!$AA$13="Mayor"),CONCATENATE("R4C",'Mapa final'!$O$13),"")</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final'!$Y$13="Muy Baja",'Mapa final'!$AA$13="Catastrófico"),CONCATENATE("R4C",'Mapa final'!$O$13),"")</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53"/>
      <c r="C50" s="253"/>
      <c r="D50" s="254"/>
      <c r="E50" s="352"/>
      <c r="F50" s="351"/>
      <c r="G50" s="351"/>
      <c r="H50" s="351"/>
      <c r="I50" s="367"/>
      <c r="J50" s="76" t="str">
        <f>IF(AND('Mapa final'!$Y$14="Muy Baja",'Mapa final'!$AA$14="Leve"),CONCATENATE("R5C",'Mapa final'!$O$14),"")</f>
        <v/>
      </c>
      <c r="K50" s="77" t="e">
        <f>IF(AND('Mapa final'!#REF!="Muy Baja",'Mapa final'!#REF!="Leve"),CONCATENATE("R5C",'Mapa final'!#REF!),"")</f>
        <v>#REF!</v>
      </c>
      <c r="L50" s="77" t="e">
        <f>IF(AND('Mapa final'!#REF!="Muy Baja",'Mapa final'!#REF!="Leve"),CONCATENATE("R5C",'Mapa final'!#REF!),"")</f>
        <v>#REF!</v>
      </c>
      <c r="M50" s="77" t="e">
        <f>IF(AND('Mapa final'!#REF!="Muy Baja",'Mapa final'!#REF!="Leve"),CONCATENATE("R5C",'Mapa final'!#REF!),"")</f>
        <v>#REF!</v>
      </c>
      <c r="N50" s="77" t="e">
        <f>IF(AND('Mapa final'!#REF!="Muy Baja",'Mapa final'!#REF!="Leve"),CONCATENATE("R5C",'Mapa final'!#REF!),"")</f>
        <v>#REF!</v>
      </c>
      <c r="O50" s="78" t="e">
        <f>IF(AND('Mapa final'!#REF!="Muy Baja",'Mapa final'!#REF!="Leve"),CONCATENATE("R5C",'Mapa final'!#REF!),"")</f>
        <v>#REF!</v>
      </c>
      <c r="P50" s="76" t="str">
        <f>IF(AND('Mapa final'!$Y$14="Muy Baja",'Mapa final'!$AA$14="Menor"),CONCATENATE("R5C",'Mapa final'!$O$14),"")</f>
        <v/>
      </c>
      <c r="Q50" s="77" t="e">
        <f>IF(AND('Mapa final'!#REF!="Muy Baja",'Mapa final'!#REF!="Menor"),CONCATENATE("R5C",'Mapa final'!#REF!),"")</f>
        <v>#REF!</v>
      </c>
      <c r="R50" s="77" t="e">
        <f>IF(AND('Mapa final'!#REF!="Muy Baja",'Mapa final'!#REF!="Menor"),CONCATENATE("R5C",'Mapa final'!#REF!),"")</f>
        <v>#REF!</v>
      </c>
      <c r="S50" s="77" t="e">
        <f>IF(AND('Mapa final'!#REF!="Muy Baja",'Mapa final'!#REF!="Menor"),CONCATENATE("R5C",'Mapa final'!#REF!),"")</f>
        <v>#REF!</v>
      </c>
      <c r="T50" s="77" t="e">
        <f>IF(AND('Mapa final'!#REF!="Muy Baja",'Mapa final'!#REF!="Menor"),CONCATENATE("R5C",'Mapa final'!#REF!),"")</f>
        <v>#REF!</v>
      </c>
      <c r="U50" s="78" t="e">
        <f>IF(AND('Mapa final'!#REF!="Muy Baja",'Mapa final'!#REF!="Menor"),CONCATENATE("R5C",'Mapa final'!#REF!),"")</f>
        <v>#REF!</v>
      </c>
      <c r="V50" s="67" t="str">
        <f>IF(AND('Mapa final'!$Y$14="Muy Baja",'Mapa final'!$AA$14="Moderado"),CONCATENATE("R5C",'Mapa final'!$O$14),"")</f>
        <v/>
      </c>
      <c r="W50" s="68" t="e">
        <f>IF(AND('Mapa final'!#REF!="Muy Baja",'Mapa final'!#REF!="Moderado"),CONCATENATE("R5C",'Mapa final'!#REF!),"")</f>
        <v>#REF!</v>
      </c>
      <c r="X50" s="68" t="e">
        <f>IF(AND('Mapa final'!#REF!="Muy Baja",'Mapa final'!#REF!="Moderado"),CONCATENATE("R5C",'Mapa final'!#REF!),"")</f>
        <v>#REF!</v>
      </c>
      <c r="Y50" s="68" t="e">
        <f>IF(AND('Mapa final'!#REF!="Muy Baja",'Mapa final'!#REF!="Moderado"),CONCATENATE("R5C",'Mapa final'!#REF!),"")</f>
        <v>#REF!</v>
      </c>
      <c r="Z50" s="68" t="e">
        <f>IF(AND('Mapa final'!#REF!="Muy Baja",'Mapa final'!#REF!="Moderado"),CONCATENATE("R5C",'Mapa final'!#REF!),"")</f>
        <v>#REF!</v>
      </c>
      <c r="AA50" s="69" t="e">
        <f>IF(AND('Mapa final'!#REF!="Muy Baja",'Mapa final'!#REF!="Moderado"),CONCATENATE("R5C",'Mapa final'!#REF!),"")</f>
        <v>#REF!</v>
      </c>
      <c r="AB50" s="52" t="str">
        <f>IF(AND('Mapa final'!$Y$14="Muy Baja",'Mapa final'!$AA$14="Mayor"),CONCATENATE("R5C",'Mapa final'!$O$14),"")</f>
        <v/>
      </c>
      <c r="AC50" s="53" t="e">
        <f>IF(AND('Mapa final'!#REF!="Muy Baja",'Mapa final'!#REF!="Mayor"),CONCATENATE("R5C",'Mapa final'!#REF!),"")</f>
        <v>#REF!</v>
      </c>
      <c r="AD50" s="53" t="e">
        <f>IF(AND('Mapa final'!#REF!="Muy Baja",'Mapa final'!#REF!="Mayor"),CONCATENATE("R5C",'Mapa final'!#REF!),"")</f>
        <v>#REF!</v>
      </c>
      <c r="AE50" s="53" t="e">
        <f>IF(AND('Mapa final'!#REF!="Muy Baja",'Mapa final'!#REF!="Mayor"),CONCATENATE("R5C",'Mapa final'!#REF!),"")</f>
        <v>#REF!</v>
      </c>
      <c r="AF50" s="53" t="e">
        <f>IF(AND('Mapa final'!#REF!="Muy Baja",'Mapa final'!#REF!="Mayor"),CONCATENATE("R5C",'Mapa final'!#REF!),"")</f>
        <v>#REF!</v>
      </c>
      <c r="AG50" s="54" t="e">
        <f>IF(AND('Mapa final'!#REF!="Muy Baja",'Mapa final'!#REF!="Mayor"),CONCATENATE("R5C",'Mapa final'!#REF!),"")</f>
        <v>#REF!</v>
      </c>
      <c r="AH50" s="55" t="str">
        <f>IF(AND('Mapa final'!$Y$14="Muy Baja",'Mapa final'!$AA$14="Catastrófico"),CONCATENATE("R5C",'Mapa final'!$O$14),"")</f>
        <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53"/>
      <c r="C51" s="253"/>
      <c r="D51" s="254"/>
      <c r="E51" s="352"/>
      <c r="F51" s="351"/>
      <c r="G51" s="351"/>
      <c r="H51" s="351"/>
      <c r="I51" s="367"/>
      <c r="J51" s="76" t="str">
        <f>IF(AND('Mapa final'!$Y$15="Muy Baja",'Mapa final'!$AA$15="Leve"),CONCATENATE("R6C",'Mapa final'!$O$15),"")</f>
        <v/>
      </c>
      <c r="K51" s="77" t="str">
        <f>IF(AND('Mapa final'!$Y$16="Muy Baja",'Mapa final'!$AA$16="Leve"),CONCATENATE("R6C",'Mapa final'!$O$16),"")</f>
        <v/>
      </c>
      <c r="L51" s="77" t="str">
        <f>IF(AND('Mapa final'!$Y$17="Muy Baja",'Mapa final'!$AA$17="Leve"),CONCATENATE("R6C",'Mapa final'!$O$17),"")</f>
        <v/>
      </c>
      <c r="M51" s="77" t="str">
        <f>IF(AND('Mapa final'!$Y$18="Muy Baja",'Mapa final'!$AA$18="Leve"),CONCATENATE("R6C",'Mapa final'!$O$18),"")</f>
        <v/>
      </c>
      <c r="N51" s="77" t="str">
        <f>IF(AND('Mapa final'!$Y$19="Muy Baja",'Mapa final'!$AA$19="Leve"),CONCATENATE("R6C",'Mapa final'!$O$19),"")</f>
        <v/>
      </c>
      <c r="O51" s="78" t="str">
        <f>IF(AND('Mapa final'!$Y$20="Muy Baja",'Mapa final'!$AA$20="Leve"),CONCATENATE("R6C",'Mapa final'!$O$20),"")</f>
        <v/>
      </c>
      <c r="P51" s="76" t="str">
        <f>IF(AND('Mapa final'!$Y$15="Muy Baja",'Mapa final'!$AA$15="Menor"),CONCATENATE("R6C",'Mapa final'!$O$15),"")</f>
        <v/>
      </c>
      <c r="Q51" s="77" t="str">
        <f>IF(AND('Mapa final'!$Y$16="Muy Baja",'Mapa final'!$AA$16="Menor"),CONCATENATE("R6C",'Mapa final'!$O$16),"")</f>
        <v/>
      </c>
      <c r="R51" s="77" t="str">
        <f>IF(AND('Mapa final'!$Y$17="Muy Baja",'Mapa final'!$AA$17="Menor"),CONCATENATE("R6C",'Mapa final'!$O$17),"")</f>
        <v/>
      </c>
      <c r="S51" s="77" t="str">
        <f>IF(AND('Mapa final'!$Y$18="Muy Baja",'Mapa final'!$AA$18="Menor"),CONCATENATE("R6C",'Mapa final'!$O$18),"")</f>
        <v/>
      </c>
      <c r="T51" s="77" t="str">
        <f>IF(AND('Mapa final'!$Y$19="Muy Baja",'Mapa final'!$AA$19="Menor"),CONCATENATE("R6C",'Mapa final'!$O$19),"")</f>
        <v/>
      </c>
      <c r="U51" s="78" t="str">
        <f>IF(AND('Mapa final'!$Y$20="Muy Baja",'Mapa final'!$AA$20="Menor"),CONCATENATE("R6C",'Mapa final'!$O$20),"")</f>
        <v/>
      </c>
      <c r="V51" s="67" t="str">
        <f>IF(AND('Mapa final'!$Y$15="Muy Baja",'Mapa final'!$AA$15="Moderado"),CONCATENATE("R6C",'Mapa final'!$O$15),"")</f>
        <v/>
      </c>
      <c r="W51" s="68" t="str">
        <f>IF(AND('Mapa final'!$Y$16="Muy Baja",'Mapa final'!$AA$16="Moderado"),CONCATENATE("R6C",'Mapa final'!$O$16),"")</f>
        <v/>
      </c>
      <c r="X51" s="68" t="str">
        <f>IF(AND('Mapa final'!$Y$17="Muy Baja",'Mapa final'!$AA$17="Moderado"),CONCATENATE("R6C",'Mapa final'!$O$17),"")</f>
        <v/>
      </c>
      <c r="Y51" s="68" t="str">
        <f>IF(AND('Mapa final'!$Y$18="Muy Baja",'Mapa final'!$AA$18="Moderado"),CONCATENATE("R6C",'Mapa final'!$O$18),"")</f>
        <v/>
      </c>
      <c r="Z51" s="68" t="str">
        <f>IF(AND('Mapa final'!$Y$19="Muy Baja",'Mapa final'!$AA$19="Moderado"),CONCATENATE("R6C",'Mapa final'!$O$19),"")</f>
        <v/>
      </c>
      <c r="AA51" s="69" t="str">
        <f>IF(AND('Mapa final'!$Y$20="Muy Baja",'Mapa final'!$AA$20="Moderado"),CONCATENATE("R6C",'Mapa final'!$O$20),"")</f>
        <v/>
      </c>
      <c r="AB51" s="52" t="str">
        <f>IF(AND('Mapa final'!$Y$15="Muy Baja",'Mapa final'!$AA$15="Mayor"),CONCATENATE("R6C",'Mapa final'!$O$15),"")</f>
        <v/>
      </c>
      <c r="AC51" s="53" t="str">
        <f>IF(AND('Mapa final'!$Y$16="Muy Baja",'Mapa final'!$AA$16="Mayor"),CONCATENATE("R6C",'Mapa final'!$O$16),"")</f>
        <v/>
      </c>
      <c r="AD51" s="53" t="str">
        <f>IF(AND('Mapa final'!$Y$17="Muy Baja",'Mapa final'!$AA$17="Mayor"),CONCATENATE("R6C",'Mapa final'!$O$17),"")</f>
        <v/>
      </c>
      <c r="AE51" s="53" t="str">
        <f>IF(AND('Mapa final'!$Y$18="Muy Baja",'Mapa final'!$AA$18="Mayor"),CONCATENATE("R6C",'Mapa final'!$O$18),"")</f>
        <v/>
      </c>
      <c r="AF51" s="53" t="str">
        <f>IF(AND('Mapa final'!$Y$19="Muy Baja",'Mapa final'!$AA$19="Mayor"),CONCATENATE("R6C",'Mapa final'!$O$19),"")</f>
        <v/>
      </c>
      <c r="AG51" s="54" t="str">
        <f>IF(AND('Mapa final'!$Y$20="Muy Baja",'Mapa final'!$AA$20="Mayor"),CONCATENATE("R6C",'Mapa final'!$O$20),"")</f>
        <v/>
      </c>
      <c r="AH51" s="55" t="str">
        <f>IF(AND('Mapa final'!$Y$15="Muy Baja",'Mapa final'!$AA$15="Catastrófico"),CONCATENATE("R6C",'Mapa final'!$O$15),"")</f>
        <v/>
      </c>
      <c r="AI51" s="56" t="str">
        <f>IF(AND('Mapa final'!$Y$16="Muy Baja",'Mapa final'!$AA$16="Catastrófico"),CONCATENATE("R6C",'Mapa final'!$O$16),"")</f>
        <v/>
      </c>
      <c r="AJ51" s="56" t="str">
        <f>IF(AND('Mapa final'!$Y$17="Muy Baja",'Mapa final'!$AA$17="Catastrófico"),CONCATENATE("R6C",'Mapa final'!$O$17),"")</f>
        <v/>
      </c>
      <c r="AK51" s="56" t="str">
        <f>IF(AND('Mapa final'!$Y$18="Muy Baja",'Mapa final'!$AA$18="Catastrófico"),CONCATENATE("R6C",'Mapa final'!$O$18),"")</f>
        <v/>
      </c>
      <c r="AL51" s="56" t="str">
        <f>IF(AND('Mapa final'!$Y$19="Muy Baja",'Mapa final'!$AA$19="Catastrófico"),CONCATENATE("R6C",'Mapa final'!$O$19),"")</f>
        <v/>
      </c>
      <c r="AM51" s="57" t="str">
        <f>IF(AND('Mapa final'!$Y$20="Muy Baja",'Mapa final'!$AA$20="Catastrófico"),CONCATENATE("R6C",'Mapa final'!$O$20),"")</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53"/>
      <c r="C52" s="253"/>
      <c r="D52" s="254"/>
      <c r="E52" s="352"/>
      <c r="F52" s="351"/>
      <c r="G52" s="351"/>
      <c r="H52" s="351"/>
      <c r="I52" s="367"/>
      <c r="J52" s="76" t="str">
        <f>IF(AND('Mapa final'!$Y$21="Muy Baja",'Mapa final'!$AA$21="Leve"),CONCATENATE("R7C",'Mapa final'!$O$21),"")</f>
        <v/>
      </c>
      <c r="K52" s="77" t="str">
        <f>IF(AND('Mapa final'!$Y$22="Muy Baja",'Mapa final'!$AA$22="Leve"),CONCATENATE("R7C",'Mapa final'!$O$22),"")</f>
        <v/>
      </c>
      <c r="L52" s="77" t="str">
        <f>IF(AND('Mapa final'!$Y$23="Muy Baja",'Mapa final'!$AA$23="Leve"),CONCATENATE("R7C",'Mapa final'!$O$23),"")</f>
        <v/>
      </c>
      <c r="M52" s="77" t="str">
        <f>IF(AND('Mapa final'!$Y$24="Muy Baja",'Mapa final'!$AA$24="Leve"),CONCATENATE("R7C",'Mapa final'!$O$24),"")</f>
        <v/>
      </c>
      <c r="N52" s="77" t="str">
        <f>IF(AND('Mapa final'!$Y$25="Muy Baja",'Mapa final'!$AA$25="Leve"),CONCATENATE("R7C",'Mapa final'!$O$25),"")</f>
        <v/>
      </c>
      <c r="O52" s="78" t="str">
        <f>IF(AND('Mapa final'!$Y$26="Muy Baja",'Mapa final'!$AA$26="Leve"),CONCATENATE("R7C",'Mapa final'!$O$26),"")</f>
        <v/>
      </c>
      <c r="P52" s="76" t="str">
        <f>IF(AND('Mapa final'!$Y$21="Muy Baja",'Mapa final'!$AA$21="Menor"),CONCATENATE("R7C",'Mapa final'!$O$21),"")</f>
        <v/>
      </c>
      <c r="Q52" s="77" t="str">
        <f>IF(AND('Mapa final'!$Y$22="Muy Baja",'Mapa final'!$AA$22="Menor"),CONCATENATE("R7C",'Mapa final'!$O$22),"")</f>
        <v/>
      </c>
      <c r="R52" s="77" t="str">
        <f>IF(AND('Mapa final'!$Y$23="Muy Baja",'Mapa final'!$AA$23="Menor"),CONCATENATE("R7C",'Mapa final'!$O$23),"")</f>
        <v/>
      </c>
      <c r="S52" s="77" t="str">
        <f>IF(AND('Mapa final'!$Y$24="Muy Baja",'Mapa final'!$AA$24="Menor"),CONCATENATE("R7C",'Mapa final'!$O$24),"")</f>
        <v/>
      </c>
      <c r="T52" s="77" t="str">
        <f>IF(AND('Mapa final'!$Y$25="Muy Baja",'Mapa final'!$AA$25="Menor"),CONCATENATE("R7C",'Mapa final'!$O$25),"")</f>
        <v/>
      </c>
      <c r="U52" s="78" t="str">
        <f>IF(AND('Mapa final'!$Y$26="Muy Baja",'Mapa final'!$AA$26="Menor"),CONCATENATE("R7C",'Mapa final'!$O$26),"")</f>
        <v/>
      </c>
      <c r="V52" s="67" t="str">
        <f>IF(AND('Mapa final'!$Y$21="Muy Baja",'Mapa final'!$AA$21="Moderado"),CONCATENATE("R7C",'Mapa final'!$O$21),"")</f>
        <v/>
      </c>
      <c r="W52" s="68" t="str">
        <f>IF(AND('Mapa final'!$Y$22="Muy Baja",'Mapa final'!$AA$22="Moderado"),CONCATENATE("R7C",'Mapa final'!$O$22),"")</f>
        <v/>
      </c>
      <c r="X52" s="68" t="str">
        <f>IF(AND('Mapa final'!$Y$23="Muy Baja",'Mapa final'!$AA$23="Moderado"),CONCATENATE("R7C",'Mapa final'!$O$23),"")</f>
        <v/>
      </c>
      <c r="Y52" s="68" t="str">
        <f>IF(AND('Mapa final'!$Y$24="Muy Baja",'Mapa final'!$AA$24="Moderado"),CONCATENATE("R7C",'Mapa final'!$O$24),"")</f>
        <v/>
      </c>
      <c r="Z52" s="68" t="str">
        <f>IF(AND('Mapa final'!$Y$25="Muy Baja",'Mapa final'!$AA$25="Moderado"),CONCATENATE("R7C",'Mapa final'!$O$25),"")</f>
        <v/>
      </c>
      <c r="AA52" s="69" t="str">
        <f>IF(AND('Mapa final'!$Y$26="Muy Baja",'Mapa final'!$AA$26="Moderado"),CONCATENATE("R7C",'Mapa final'!$O$26),"")</f>
        <v/>
      </c>
      <c r="AB52" s="52" t="str">
        <f>IF(AND('Mapa final'!$Y$21="Muy Baja",'Mapa final'!$AA$21="Mayor"),CONCATENATE("R7C",'Mapa final'!$O$21),"")</f>
        <v/>
      </c>
      <c r="AC52" s="53" t="str">
        <f>IF(AND('Mapa final'!$Y$22="Muy Baja",'Mapa final'!$AA$22="Mayor"),CONCATENATE("R7C",'Mapa final'!$O$22),"")</f>
        <v/>
      </c>
      <c r="AD52" s="53" t="str">
        <f>IF(AND('Mapa final'!$Y$23="Muy Baja",'Mapa final'!$AA$23="Mayor"),CONCATENATE("R7C",'Mapa final'!$O$23),"")</f>
        <v/>
      </c>
      <c r="AE52" s="53" t="str">
        <f>IF(AND('Mapa final'!$Y$24="Muy Baja",'Mapa final'!$AA$24="Mayor"),CONCATENATE("R7C",'Mapa final'!$O$24),"")</f>
        <v/>
      </c>
      <c r="AF52" s="53" t="str">
        <f>IF(AND('Mapa final'!$Y$25="Muy Baja",'Mapa final'!$AA$25="Mayor"),CONCATENATE("R7C",'Mapa final'!$O$25),"")</f>
        <v/>
      </c>
      <c r="AG52" s="54" t="str">
        <f>IF(AND('Mapa final'!$Y$26="Muy Baja",'Mapa final'!$AA$26="Mayor"),CONCATENATE("R7C",'Mapa final'!$O$26),"")</f>
        <v/>
      </c>
      <c r="AH52" s="55" t="str">
        <f>IF(AND('Mapa final'!$Y$21="Muy Baja",'Mapa final'!$AA$21="Catastrófico"),CONCATENATE("R7C",'Mapa final'!$O$21),"")</f>
        <v/>
      </c>
      <c r="AI52" s="56" t="str">
        <f>IF(AND('Mapa final'!$Y$22="Muy Baja",'Mapa final'!$AA$22="Catastrófico"),CONCATENATE("R7C",'Mapa final'!$O$22),"")</f>
        <v/>
      </c>
      <c r="AJ52" s="56" t="str">
        <f>IF(AND('Mapa final'!$Y$23="Muy Baja",'Mapa final'!$AA$23="Catastrófico"),CONCATENATE("R7C",'Mapa final'!$O$23),"")</f>
        <v/>
      </c>
      <c r="AK52" s="56" t="str">
        <f>IF(AND('Mapa final'!$Y$24="Muy Baja",'Mapa final'!$AA$24="Catastrófico"),CONCATENATE("R7C",'Mapa final'!$O$24),"")</f>
        <v/>
      </c>
      <c r="AL52" s="56" t="str">
        <f>IF(AND('Mapa final'!$Y$25="Muy Baja",'Mapa final'!$AA$25="Catastrófico"),CONCATENATE("R7C",'Mapa final'!$O$25),"")</f>
        <v/>
      </c>
      <c r="AM52" s="57" t="str">
        <f>IF(AND('Mapa final'!$Y$26="Muy Baja",'Mapa final'!$AA$26="Catastrófico"),CONCATENATE("R7C",'Mapa final'!$O$26),"")</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53"/>
      <c r="C53" s="253"/>
      <c r="D53" s="254"/>
      <c r="E53" s="352"/>
      <c r="F53" s="351"/>
      <c r="G53" s="351"/>
      <c r="H53" s="351"/>
      <c r="I53" s="367"/>
      <c r="J53" s="76" t="str">
        <f>IF(AND('Mapa final'!$Y$27="Muy Baja",'Mapa final'!$AA$27="Leve"),CONCATENATE("R8C",'Mapa final'!$O$27),"")</f>
        <v/>
      </c>
      <c r="K53" s="77" t="str">
        <f>IF(AND('Mapa final'!$Y$28="Muy Baja",'Mapa final'!$AA$28="Leve"),CONCATENATE("R8C",'Mapa final'!$O$28),"")</f>
        <v/>
      </c>
      <c r="L53" s="77" t="str">
        <f>IF(AND('Mapa final'!$Y$29="Muy Baja",'Mapa final'!$AA$29="Leve"),CONCATENATE("R8C",'Mapa final'!$O$29),"")</f>
        <v/>
      </c>
      <c r="M53" s="77" t="str">
        <f>IF(AND('Mapa final'!$Y$30="Muy Baja",'Mapa final'!$AA$30="Leve"),CONCATENATE("R8C",'Mapa final'!$O$30),"")</f>
        <v/>
      </c>
      <c r="N53" s="77" t="str">
        <f>IF(AND('Mapa final'!$Y$31="Muy Baja",'Mapa final'!$AA$31="Leve"),CONCATENATE("R8C",'Mapa final'!$O$31),"")</f>
        <v/>
      </c>
      <c r="O53" s="78" t="str">
        <f>IF(AND('Mapa final'!$Y$32="Muy Baja",'Mapa final'!$AA$32="Leve"),CONCATENATE("R8C",'Mapa final'!$O$32),"")</f>
        <v/>
      </c>
      <c r="P53" s="76" t="str">
        <f>IF(AND('Mapa final'!$Y$27="Muy Baja",'Mapa final'!$AA$27="Menor"),CONCATENATE("R8C",'Mapa final'!$O$27),"")</f>
        <v/>
      </c>
      <c r="Q53" s="77" t="str">
        <f>IF(AND('Mapa final'!$Y$28="Muy Baja",'Mapa final'!$AA$28="Menor"),CONCATENATE("R8C",'Mapa final'!$O$28),"")</f>
        <v/>
      </c>
      <c r="R53" s="77" t="str">
        <f>IF(AND('Mapa final'!$Y$29="Muy Baja",'Mapa final'!$AA$29="Menor"),CONCATENATE("R8C",'Mapa final'!$O$29),"")</f>
        <v/>
      </c>
      <c r="S53" s="77" t="str">
        <f>IF(AND('Mapa final'!$Y$30="Muy Baja",'Mapa final'!$AA$30="Menor"),CONCATENATE("R8C",'Mapa final'!$O$30),"")</f>
        <v/>
      </c>
      <c r="T53" s="77" t="str">
        <f>IF(AND('Mapa final'!$Y$31="Muy Baja",'Mapa final'!$AA$31="Menor"),CONCATENATE("R8C",'Mapa final'!$O$31),"")</f>
        <v/>
      </c>
      <c r="U53" s="78" t="str">
        <f>IF(AND('Mapa final'!$Y$32="Muy Baja",'Mapa final'!$AA$32="Menor"),CONCATENATE("R8C",'Mapa final'!$O$32),"")</f>
        <v/>
      </c>
      <c r="V53" s="67" t="str">
        <f>IF(AND('Mapa final'!$Y$27="Muy Baja",'Mapa final'!$AA$27="Moderado"),CONCATENATE("R8C",'Mapa final'!$O$27),"")</f>
        <v/>
      </c>
      <c r="W53" s="68" t="str">
        <f>IF(AND('Mapa final'!$Y$28="Muy Baja",'Mapa final'!$AA$28="Moderado"),CONCATENATE("R8C",'Mapa final'!$O$28),"")</f>
        <v/>
      </c>
      <c r="X53" s="68" t="str">
        <f>IF(AND('Mapa final'!$Y$29="Muy Baja",'Mapa final'!$AA$29="Moderado"),CONCATENATE("R8C",'Mapa final'!$O$29),"")</f>
        <v/>
      </c>
      <c r="Y53" s="68" t="str">
        <f>IF(AND('Mapa final'!$Y$30="Muy Baja",'Mapa final'!$AA$30="Moderado"),CONCATENATE("R8C",'Mapa final'!$O$30),"")</f>
        <v/>
      </c>
      <c r="Z53" s="68" t="str">
        <f>IF(AND('Mapa final'!$Y$31="Muy Baja",'Mapa final'!$AA$31="Moderado"),CONCATENATE("R8C",'Mapa final'!$O$31),"")</f>
        <v/>
      </c>
      <c r="AA53" s="69" t="str">
        <f>IF(AND('Mapa final'!$Y$32="Muy Baja",'Mapa final'!$AA$32="Moderado"),CONCATENATE("R8C",'Mapa final'!$O$32),"")</f>
        <v/>
      </c>
      <c r="AB53" s="52" t="str">
        <f>IF(AND('Mapa final'!$Y$27="Muy Baja",'Mapa final'!$AA$27="Mayor"),CONCATENATE("R8C",'Mapa final'!$O$27),"")</f>
        <v/>
      </c>
      <c r="AC53" s="53" t="str">
        <f>IF(AND('Mapa final'!$Y$28="Muy Baja",'Mapa final'!$AA$28="Mayor"),CONCATENATE("R8C",'Mapa final'!$O$28),"")</f>
        <v/>
      </c>
      <c r="AD53" s="53" t="str">
        <f>IF(AND('Mapa final'!$Y$29="Muy Baja",'Mapa final'!$AA$29="Mayor"),CONCATENATE("R8C",'Mapa final'!$O$29),"")</f>
        <v/>
      </c>
      <c r="AE53" s="53" t="str">
        <f>IF(AND('Mapa final'!$Y$30="Muy Baja",'Mapa final'!$AA$30="Mayor"),CONCATENATE("R8C",'Mapa final'!$O$30),"")</f>
        <v/>
      </c>
      <c r="AF53" s="53" t="str">
        <f>IF(AND('Mapa final'!$Y$31="Muy Baja",'Mapa final'!$AA$31="Mayor"),CONCATENATE("R8C",'Mapa final'!$O$31),"")</f>
        <v/>
      </c>
      <c r="AG53" s="54" t="str">
        <f>IF(AND('Mapa final'!$Y$32="Muy Baja",'Mapa final'!$AA$32="Mayor"),CONCATENATE("R8C",'Mapa final'!$O$32),"")</f>
        <v/>
      </c>
      <c r="AH53" s="55" t="str">
        <f>IF(AND('Mapa final'!$Y$27="Muy Baja",'Mapa final'!$AA$27="Catastrófico"),CONCATENATE("R8C",'Mapa final'!$O$27),"")</f>
        <v/>
      </c>
      <c r="AI53" s="56" t="str">
        <f>IF(AND('Mapa final'!$Y$28="Muy Baja",'Mapa final'!$AA$28="Catastrófico"),CONCATENATE("R8C",'Mapa final'!$O$28),"")</f>
        <v/>
      </c>
      <c r="AJ53" s="56" t="str">
        <f>IF(AND('Mapa final'!$Y$29="Muy Baja",'Mapa final'!$AA$29="Catastrófico"),CONCATENATE("R8C",'Mapa final'!$O$29),"")</f>
        <v/>
      </c>
      <c r="AK53" s="56" t="str">
        <f>IF(AND('Mapa final'!$Y$30="Muy Baja",'Mapa final'!$AA$30="Catastrófico"),CONCATENATE("R8C",'Mapa final'!$O$30),"")</f>
        <v/>
      </c>
      <c r="AL53" s="56" t="str">
        <f>IF(AND('Mapa final'!$Y$31="Muy Baja",'Mapa final'!$AA$31="Catastrófico"),CONCATENATE("R8C",'Mapa final'!$O$31),"")</f>
        <v/>
      </c>
      <c r="AM53" s="57" t="str">
        <f>IF(AND('Mapa final'!$Y$32="Muy Baja",'Mapa final'!$AA$32="Catastrófico"),CONCATENATE("R8C",'Mapa final'!$O$32),"")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53"/>
      <c r="C54" s="253"/>
      <c r="D54" s="254"/>
      <c r="E54" s="352"/>
      <c r="F54" s="351"/>
      <c r="G54" s="351"/>
      <c r="H54" s="351"/>
      <c r="I54" s="367"/>
      <c r="J54" s="76" t="str">
        <f>IF(AND('Mapa final'!$Y$33="Muy Baja",'Mapa final'!$AA$33="Leve"),CONCATENATE("R9C",'Mapa final'!$O$33),"")</f>
        <v/>
      </c>
      <c r="K54" s="77" t="str">
        <f>IF(AND('Mapa final'!$Y$34="Muy Baja",'Mapa final'!$AA$34="Leve"),CONCATENATE("R9C",'Mapa final'!$O$34),"")</f>
        <v/>
      </c>
      <c r="L54" s="77" t="str">
        <f>IF(AND('Mapa final'!$Y$35="Muy Baja",'Mapa final'!$AA$35="Leve"),CONCATENATE("R9C",'Mapa final'!$O$35),"")</f>
        <v/>
      </c>
      <c r="M54" s="77" t="str">
        <f>IF(AND('Mapa final'!$Y$36="Muy Baja",'Mapa final'!$AA$36="Leve"),CONCATENATE("R9C",'Mapa final'!$O$36),"")</f>
        <v/>
      </c>
      <c r="N54" s="77" t="str">
        <f>IF(AND('Mapa final'!$Y$37="Muy Baja",'Mapa final'!$AA$37="Leve"),CONCATENATE("R9C",'Mapa final'!$O$37),"")</f>
        <v/>
      </c>
      <c r="O54" s="78" t="str">
        <f>IF(AND('Mapa final'!$Y$38="Muy Baja",'Mapa final'!$AA$38="Leve"),CONCATENATE("R9C",'Mapa final'!$O$38),"")</f>
        <v/>
      </c>
      <c r="P54" s="76" t="str">
        <f>IF(AND('Mapa final'!$Y$33="Muy Baja",'Mapa final'!$AA$33="Menor"),CONCATENATE("R9C",'Mapa final'!$O$33),"")</f>
        <v/>
      </c>
      <c r="Q54" s="77" t="str">
        <f>IF(AND('Mapa final'!$Y$34="Muy Baja",'Mapa final'!$AA$34="Menor"),CONCATENATE("R9C",'Mapa final'!$O$34),"")</f>
        <v/>
      </c>
      <c r="R54" s="77" t="str">
        <f>IF(AND('Mapa final'!$Y$35="Muy Baja",'Mapa final'!$AA$35="Menor"),CONCATENATE("R9C",'Mapa final'!$O$35),"")</f>
        <v/>
      </c>
      <c r="S54" s="77" t="str">
        <f>IF(AND('Mapa final'!$Y$36="Muy Baja",'Mapa final'!$AA$36="Menor"),CONCATENATE("R9C",'Mapa final'!$O$36),"")</f>
        <v/>
      </c>
      <c r="T54" s="77" t="str">
        <f>IF(AND('Mapa final'!$Y$37="Muy Baja",'Mapa final'!$AA$37="Menor"),CONCATENATE("R9C",'Mapa final'!$O$37),"")</f>
        <v/>
      </c>
      <c r="U54" s="78" t="str">
        <f>IF(AND('Mapa final'!$Y$38="Muy Baja",'Mapa final'!$AA$38="Menor"),CONCATENATE("R9C",'Mapa final'!$O$38),"")</f>
        <v/>
      </c>
      <c r="V54" s="67" t="str">
        <f>IF(AND('Mapa final'!$Y$33="Muy Baja",'Mapa final'!$AA$33="Moderado"),CONCATENATE("R9C",'Mapa final'!$O$33),"")</f>
        <v/>
      </c>
      <c r="W54" s="68" t="str">
        <f>IF(AND('Mapa final'!$Y$34="Muy Baja",'Mapa final'!$AA$34="Moderado"),CONCATENATE("R9C",'Mapa final'!$O$34),"")</f>
        <v/>
      </c>
      <c r="X54" s="68" t="str">
        <f>IF(AND('Mapa final'!$Y$35="Muy Baja",'Mapa final'!$AA$35="Moderado"),CONCATENATE("R9C",'Mapa final'!$O$35),"")</f>
        <v/>
      </c>
      <c r="Y54" s="68" t="str">
        <f>IF(AND('Mapa final'!$Y$36="Muy Baja",'Mapa final'!$AA$36="Moderado"),CONCATENATE("R9C",'Mapa final'!$O$36),"")</f>
        <v/>
      </c>
      <c r="Z54" s="68" t="str">
        <f>IF(AND('Mapa final'!$Y$37="Muy Baja",'Mapa final'!$AA$37="Moderado"),CONCATENATE("R9C",'Mapa final'!$O$37),"")</f>
        <v/>
      </c>
      <c r="AA54" s="69" t="str">
        <f>IF(AND('Mapa final'!$Y$38="Muy Baja",'Mapa final'!$AA$38="Moderado"),CONCATENATE("R9C",'Mapa final'!$O$38),"")</f>
        <v/>
      </c>
      <c r="AB54" s="52" t="str">
        <f>IF(AND('Mapa final'!$Y$33="Muy Baja",'Mapa final'!$AA$33="Mayor"),CONCATENATE("R9C",'Mapa final'!$O$33),"")</f>
        <v/>
      </c>
      <c r="AC54" s="53" t="str">
        <f>IF(AND('Mapa final'!$Y$34="Muy Baja",'Mapa final'!$AA$34="Mayor"),CONCATENATE("R9C",'Mapa final'!$O$34),"")</f>
        <v/>
      </c>
      <c r="AD54" s="53" t="str">
        <f>IF(AND('Mapa final'!$Y$35="Muy Baja",'Mapa final'!$AA$35="Mayor"),CONCATENATE("R9C",'Mapa final'!$O$35),"")</f>
        <v/>
      </c>
      <c r="AE54" s="53" t="str">
        <f>IF(AND('Mapa final'!$Y$36="Muy Baja",'Mapa final'!$AA$36="Mayor"),CONCATENATE("R9C",'Mapa final'!$O$36),"")</f>
        <v/>
      </c>
      <c r="AF54" s="53" t="str">
        <f>IF(AND('Mapa final'!$Y$37="Muy Baja",'Mapa final'!$AA$37="Mayor"),CONCATENATE("R9C",'Mapa final'!$O$37),"")</f>
        <v/>
      </c>
      <c r="AG54" s="54" t="str">
        <f>IF(AND('Mapa final'!$Y$38="Muy Baja",'Mapa final'!$AA$38="Mayor"),CONCATENATE("R9C",'Mapa final'!$O$38),"")</f>
        <v/>
      </c>
      <c r="AH54" s="55" t="str">
        <f>IF(AND('Mapa final'!$Y$33="Muy Baja",'Mapa final'!$AA$33="Catastrófico"),CONCATENATE("R9C",'Mapa final'!$O$33),"")</f>
        <v/>
      </c>
      <c r="AI54" s="56" t="str">
        <f>IF(AND('Mapa final'!$Y$34="Muy Baja",'Mapa final'!$AA$34="Catastrófico"),CONCATENATE("R9C",'Mapa final'!$O$34),"")</f>
        <v/>
      </c>
      <c r="AJ54" s="56" t="str">
        <f>IF(AND('Mapa final'!$Y$35="Muy Baja",'Mapa final'!$AA$35="Catastrófico"),CONCATENATE("R9C",'Mapa final'!$O$35),"")</f>
        <v/>
      </c>
      <c r="AK54" s="56" t="str">
        <f>IF(AND('Mapa final'!$Y$36="Muy Baja",'Mapa final'!$AA$36="Catastrófico"),CONCATENATE("R9C",'Mapa final'!$O$36),"")</f>
        <v/>
      </c>
      <c r="AL54" s="56" t="str">
        <f>IF(AND('Mapa final'!$Y$37="Muy Baja",'Mapa final'!$AA$37="Catastrófico"),CONCATENATE("R9C",'Mapa final'!$O$37),"")</f>
        <v/>
      </c>
      <c r="AM54" s="57" t="str">
        <f>IF(AND('Mapa final'!$Y$38="Muy Baja",'Mapa final'!$AA$38="Catastrófico"),CONCATENATE("R9C",'Mapa final'!$O$38),"")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53"/>
      <c r="C55" s="253"/>
      <c r="D55" s="254"/>
      <c r="E55" s="353"/>
      <c r="F55" s="354"/>
      <c r="G55" s="354"/>
      <c r="H55" s="354"/>
      <c r="I55" s="368"/>
      <c r="J55" s="79" t="str">
        <f>IF(AND('Mapa final'!$Y$39="Muy Baja",'Mapa final'!$AA$39="Leve"),CONCATENATE("R10C",'Mapa final'!$O$39),"")</f>
        <v/>
      </c>
      <c r="K55" s="80" t="str">
        <f>IF(AND('Mapa final'!$Y$40="Muy Baja",'Mapa final'!$AA$40="Leve"),CONCATENATE("R10C",'Mapa final'!$O$40),"")</f>
        <v/>
      </c>
      <c r="L55" s="80" t="str">
        <f>IF(AND('Mapa final'!$Y$41="Muy Baja",'Mapa final'!$AA$41="Leve"),CONCATENATE("R10C",'Mapa final'!$O$41),"")</f>
        <v/>
      </c>
      <c r="M55" s="80" t="str">
        <f>IF(AND('Mapa final'!$Y$42="Muy Baja",'Mapa final'!$AA$42="Leve"),CONCATENATE("R10C",'Mapa final'!$O$42),"")</f>
        <v/>
      </c>
      <c r="N55" s="80" t="str">
        <f>IF(AND('Mapa final'!$Y$43="Muy Baja",'Mapa final'!$AA$43="Leve"),CONCATENATE("R10C",'Mapa final'!$O$43),"")</f>
        <v/>
      </c>
      <c r="O55" s="81" t="str">
        <f>IF(AND('Mapa final'!$Y$44="Muy Baja",'Mapa final'!$AA$44="Leve"),CONCATENATE("R10C",'Mapa final'!$O$44),"")</f>
        <v/>
      </c>
      <c r="P55" s="79" t="str">
        <f>IF(AND('Mapa final'!$Y$39="Muy Baja",'Mapa final'!$AA$39="Menor"),CONCATENATE("R10C",'Mapa final'!$O$39),"")</f>
        <v/>
      </c>
      <c r="Q55" s="80" t="str">
        <f>IF(AND('Mapa final'!$Y$40="Muy Baja",'Mapa final'!$AA$40="Menor"),CONCATENATE("R10C",'Mapa final'!$O$40),"")</f>
        <v/>
      </c>
      <c r="R55" s="80" t="str">
        <f>IF(AND('Mapa final'!$Y$41="Muy Baja",'Mapa final'!$AA$41="Menor"),CONCATENATE("R10C",'Mapa final'!$O$41),"")</f>
        <v/>
      </c>
      <c r="S55" s="80" t="str">
        <f>IF(AND('Mapa final'!$Y$42="Muy Baja",'Mapa final'!$AA$42="Menor"),CONCATENATE("R10C",'Mapa final'!$O$42),"")</f>
        <v/>
      </c>
      <c r="T55" s="80" t="str">
        <f>IF(AND('Mapa final'!$Y$43="Muy Baja",'Mapa final'!$AA$43="Menor"),CONCATENATE("R10C",'Mapa final'!$O$43),"")</f>
        <v/>
      </c>
      <c r="U55" s="81" t="str">
        <f>IF(AND('Mapa final'!$Y$44="Muy Baja",'Mapa final'!$AA$44="Menor"),CONCATENATE("R10C",'Mapa final'!$O$44),"")</f>
        <v/>
      </c>
      <c r="V55" s="70" t="str">
        <f>IF(AND('Mapa final'!$Y$39="Muy Baja",'Mapa final'!$AA$39="Moderado"),CONCATENATE("R10C",'Mapa final'!$O$39),"")</f>
        <v/>
      </c>
      <c r="W55" s="71" t="str">
        <f>IF(AND('Mapa final'!$Y$40="Muy Baja",'Mapa final'!$AA$40="Moderado"),CONCATENATE("R10C",'Mapa final'!$O$40),"")</f>
        <v/>
      </c>
      <c r="X55" s="71" t="str">
        <f>IF(AND('Mapa final'!$Y$41="Muy Baja",'Mapa final'!$AA$41="Moderado"),CONCATENATE("R10C",'Mapa final'!$O$41),"")</f>
        <v/>
      </c>
      <c r="Y55" s="71" t="str">
        <f>IF(AND('Mapa final'!$Y$42="Muy Baja",'Mapa final'!$AA$42="Moderado"),CONCATENATE("R10C",'Mapa final'!$O$42),"")</f>
        <v/>
      </c>
      <c r="Z55" s="71" t="str">
        <f>IF(AND('Mapa final'!$Y$43="Muy Baja",'Mapa final'!$AA$43="Moderado"),CONCATENATE("R10C",'Mapa final'!$O$43),"")</f>
        <v/>
      </c>
      <c r="AA55" s="72" t="str">
        <f>IF(AND('Mapa final'!$Y$44="Muy Baja",'Mapa final'!$AA$44="Moderado"),CONCATENATE("R10C",'Mapa final'!$O$44),"")</f>
        <v/>
      </c>
      <c r="AB55" s="58" t="str">
        <f>IF(AND('Mapa final'!$Y$39="Muy Baja",'Mapa final'!$AA$39="Mayor"),CONCATENATE("R10C",'Mapa final'!$O$39),"")</f>
        <v/>
      </c>
      <c r="AC55" s="59" t="str">
        <f>IF(AND('Mapa final'!$Y$40="Muy Baja",'Mapa final'!$AA$40="Mayor"),CONCATENATE("R10C",'Mapa final'!$O$40),"")</f>
        <v/>
      </c>
      <c r="AD55" s="59" t="str">
        <f>IF(AND('Mapa final'!$Y$41="Muy Baja",'Mapa final'!$AA$41="Mayor"),CONCATENATE("R10C",'Mapa final'!$O$41),"")</f>
        <v/>
      </c>
      <c r="AE55" s="59" t="str">
        <f>IF(AND('Mapa final'!$Y$42="Muy Baja",'Mapa final'!$AA$42="Mayor"),CONCATENATE("R10C",'Mapa final'!$O$42),"")</f>
        <v/>
      </c>
      <c r="AF55" s="59" t="str">
        <f>IF(AND('Mapa final'!$Y$43="Muy Baja",'Mapa final'!$AA$43="Mayor"),CONCATENATE("R10C",'Mapa final'!$O$43),"")</f>
        <v/>
      </c>
      <c r="AG55" s="60" t="str">
        <f>IF(AND('Mapa final'!$Y$44="Muy Baja",'Mapa final'!$AA$44="Mayor"),CONCATENATE("R10C",'Mapa final'!$O$44),"")</f>
        <v/>
      </c>
      <c r="AH55" s="61" t="str">
        <f>IF(AND('Mapa final'!$Y$39="Muy Baja",'Mapa final'!$AA$39="Catastrófico"),CONCATENATE("R10C",'Mapa final'!$O$39),"")</f>
        <v/>
      </c>
      <c r="AI55" s="62" t="str">
        <f>IF(AND('Mapa final'!$Y$40="Muy Baja",'Mapa final'!$AA$40="Catastrófico"),CONCATENATE("R10C",'Mapa final'!$O$40),"")</f>
        <v/>
      </c>
      <c r="AJ55" s="62" t="str">
        <f>IF(AND('Mapa final'!$Y$41="Muy Baja",'Mapa final'!$AA$41="Catastrófico"),CONCATENATE("R10C",'Mapa final'!$O$41),"")</f>
        <v/>
      </c>
      <c r="AK55" s="62" t="str">
        <f>IF(AND('Mapa final'!$Y$42="Muy Baja",'Mapa final'!$AA$42="Catastrófico"),CONCATENATE("R10C",'Mapa final'!$O$42),"")</f>
        <v/>
      </c>
      <c r="AL55" s="62" t="str">
        <f>IF(AND('Mapa final'!$Y$43="Muy Baja",'Mapa final'!$AA$43="Catastrófico"),CONCATENATE("R10C",'Mapa final'!$O$43),"")</f>
        <v/>
      </c>
      <c r="AM55" s="63" t="str">
        <f>IF(AND('Mapa final'!$Y$44="Muy Baja",'Mapa final'!$AA$44="Catastrófico"),CONCATENATE("R10C",'Mapa final'!$O$44),"")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48" t="s">
        <v>112</v>
      </c>
      <c r="K56" s="349"/>
      <c r="L56" s="349"/>
      <c r="M56" s="349"/>
      <c r="N56" s="349"/>
      <c r="O56" s="366"/>
      <c r="P56" s="348" t="s">
        <v>111</v>
      </c>
      <c r="Q56" s="349"/>
      <c r="R56" s="349"/>
      <c r="S56" s="349"/>
      <c r="T56" s="349"/>
      <c r="U56" s="366"/>
      <c r="V56" s="348" t="s">
        <v>110</v>
      </c>
      <c r="W56" s="349"/>
      <c r="X56" s="349"/>
      <c r="Y56" s="349"/>
      <c r="Z56" s="349"/>
      <c r="AA56" s="366"/>
      <c r="AB56" s="348" t="s">
        <v>109</v>
      </c>
      <c r="AC56" s="387"/>
      <c r="AD56" s="349"/>
      <c r="AE56" s="349"/>
      <c r="AF56" s="349"/>
      <c r="AG56" s="366"/>
      <c r="AH56" s="348" t="s">
        <v>108</v>
      </c>
      <c r="AI56" s="349"/>
      <c r="AJ56" s="349"/>
      <c r="AK56" s="349"/>
      <c r="AL56" s="349"/>
      <c r="AM56" s="36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52"/>
      <c r="K57" s="351"/>
      <c r="L57" s="351"/>
      <c r="M57" s="351"/>
      <c r="N57" s="351"/>
      <c r="O57" s="367"/>
      <c r="P57" s="352"/>
      <c r="Q57" s="351"/>
      <c r="R57" s="351"/>
      <c r="S57" s="351"/>
      <c r="T57" s="351"/>
      <c r="U57" s="367"/>
      <c r="V57" s="352"/>
      <c r="W57" s="351"/>
      <c r="X57" s="351"/>
      <c r="Y57" s="351"/>
      <c r="Z57" s="351"/>
      <c r="AA57" s="367"/>
      <c r="AB57" s="352"/>
      <c r="AC57" s="351"/>
      <c r="AD57" s="351"/>
      <c r="AE57" s="351"/>
      <c r="AF57" s="351"/>
      <c r="AG57" s="367"/>
      <c r="AH57" s="352"/>
      <c r="AI57" s="351"/>
      <c r="AJ57" s="351"/>
      <c r="AK57" s="351"/>
      <c r="AL57" s="351"/>
      <c r="AM57" s="36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52"/>
      <c r="K58" s="351"/>
      <c r="L58" s="351"/>
      <c r="M58" s="351"/>
      <c r="N58" s="351"/>
      <c r="O58" s="367"/>
      <c r="P58" s="352"/>
      <c r="Q58" s="351"/>
      <c r="R58" s="351"/>
      <c r="S58" s="351"/>
      <c r="T58" s="351"/>
      <c r="U58" s="367"/>
      <c r="V58" s="352"/>
      <c r="W58" s="351"/>
      <c r="X58" s="351"/>
      <c r="Y58" s="351"/>
      <c r="Z58" s="351"/>
      <c r="AA58" s="367"/>
      <c r="AB58" s="352"/>
      <c r="AC58" s="351"/>
      <c r="AD58" s="351"/>
      <c r="AE58" s="351"/>
      <c r="AF58" s="351"/>
      <c r="AG58" s="367"/>
      <c r="AH58" s="352"/>
      <c r="AI58" s="351"/>
      <c r="AJ58" s="351"/>
      <c r="AK58" s="351"/>
      <c r="AL58" s="351"/>
      <c r="AM58" s="36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52"/>
      <c r="K59" s="351"/>
      <c r="L59" s="351"/>
      <c r="M59" s="351"/>
      <c r="N59" s="351"/>
      <c r="O59" s="367"/>
      <c r="P59" s="352"/>
      <c r="Q59" s="351"/>
      <c r="R59" s="351"/>
      <c r="S59" s="351"/>
      <c r="T59" s="351"/>
      <c r="U59" s="367"/>
      <c r="V59" s="352"/>
      <c r="W59" s="351"/>
      <c r="X59" s="351"/>
      <c r="Y59" s="351"/>
      <c r="Z59" s="351"/>
      <c r="AA59" s="367"/>
      <c r="AB59" s="352"/>
      <c r="AC59" s="351"/>
      <c r="AD59" s="351"/>
      <c r="AE59" s="351"/>
      <c r="AF59" s="351"/>
      <c r="AG59" s="367"/>
      <c r="AH59" s="352"/>
      <c r="AI59" s="351"/>
      <c r="AJ59" s="351"/>
      <c r="AK59" s="351"/>
      <c r="AL59" s="351"/>
      <c r="AM59" s="36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52"/>
      <c r="K60" s="351"/>
      <c r="L60" s="351"/>
      <c r="M60" s="351"/>
      <c r="N60" s="351"/>
      <c r="O60" s="367"/>
      <c r="P60" s="352"/>
      <c r="Q60" s="351"/>
      <c r="R60" s="351"/>
      <c r="S60" s="351"/>
      <c r="T60" s="351"/>
      <c r="U60" s="367"/>
      <c r="V60" s="352"/>
      <c r="W60" s="351"/>
      <c r="X60" s="351"/>
      <c r="Y60" s="351"/>
      <c r="Z60" s="351"/>
      <c r="AA60" s="367"/>
      <c r="AB60" s="352"/>
      <c r="AC60" s="351"/>
      <c r="AD60" s="351"/>
      <c r="AE60" s="351"/>
      <c r="AF60" s="351"/>
      <c r="AG60" s="367"/>
      <c r="AH60" s="352"/>
      <c r="AI60" s="351"/>
      <c r="AJ60" s="351"/>
      <c r="AK60" s="351"/>
      <c r="AL60" s="351"/>
      <c r="AM60" s="36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53"/>
      <c r="K61" s="354"/>
      <c r="L61" s="354"/>
      <c r="M61" s="354"/>
      <c r="N61" s="354"/>
      <c r="O61" s="368"/>
      <c r="P61" s="353"/>
      <c r="Q61" s="354"/>
      <c r="R61" s="354"/>
      <c r="S61" s="354"/>
      <c r="T61" s="354"/>
      <c r="U61" s="368"/>
      <c r="V61" s="353"/>
      <c r="W61" s="354"/>
      <c r="X61" s="354"/>
      <c r="Y61" s="354"/>
      <c r="Z61" s="354"/>
      <c r="AA61" s="368"/>
      <c r="AB61" s="353"/>
      <c r="AC61" s="354"/>
      <c r="AD61" s="354"/>
      <c r="AE61" s="354"/>
      <c r="AF61" s="354"/>
      <c r="AG61" s="368"/>
      <c r="AH61" s="353"/>
      <c r="AI61" s="354"/>
      <c r="AJ61" s="354"/>
      <c r="AK61" s="354"/>
      <c r="AL61" s="354"/>
      <c r="AM61" s="368"/>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8" t="s">
        <v>55</v>
      </c>
      <c r="C1" s="388"/>
      <c r="D1" s="388"/>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9" t="s">
        <v>63</v>
      </c>
      <c r="C1" s="389"/>
      <c r="D1" s="389"/>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90" t="s">
        <v>78</v>
      </c>
      <c r="C1" s="391"/>
      <c r="D1" s="391"/>
      <c r="E1" s="391"/>
      <c r="F1" s="392"/>
    </row>
    <row r="2" spans="2:6" ht="16.5" thickBot="1" x14ac:dyDescent="0.3">
      <c r="B2" s="89"/>
      <c r="C2" s="89"/>
      <c r="D2" s="89"/>
      <c r="E2" s="89"/>
      <c r="F2" s="89"/>
    </row>
    <row r="3" spans="2:6" ht="16.5" thickBot="1" x14ac:dyDescent="0.25">
      <c r="B3" s="394" t="s">
        <v>64</v>
      </c>
      <c r="C3" s="395"/>
      <c r="D3" s="395"/>
      <c r="E3" s="101" t="s">
        <v>65</v>
      </c>
      <c r="F3" s="102" t="s">
        <v>66</v>
      </c>
    </row>
    <row r="4" spans="2:6" ht="31.5" x14ac:dyDescent="0.2">
      <c r="B4" s="396" t="s">
        <v>67</v>
      </c>
      <c r="C4" s="398" t="s">
        <v>13</v>
      </c>
      <c r="D4" s="90" t="s">
        <v>14</v>
      </c>
      <c r="E4" s="91" t="s">
        <v>68</v>
      </c>
      <c r="F4" s="92">
        <v>0.25</v>
      </c>
    </row>
    <row r="5" spans="2:6" ht="47.25" x14ac:dyDescent="0.2">
      <c r="B5" s="397"/>
      <c r="C5" s="399"/>
      <c r="D5" s="93" t="s">
        <v>15</v>
      </c>
      <c r="E5" s="94" t="s">
        <v>69</v>
      </c>
      <c r="F5" s="95">
        <v>0.15</v>
      </c>
    </row>
    <row r="6" spans="2:6" ht="47.25" x14ac:dyDescent="0.2">
      <c r="B6" s="397"/>
      <c r="C6" s="399"/>
      <c r="D6" s="93" t="s">
        <v>16</v>
      </c>
      <c r="E6" s="94" t="s">
        <v>70</v>
      </c>
      <c r="F6" s="95">
        <v>0.1</v>
      </c>
    </row>
    <row r="7" spans="2:6" ht="63" x14ac:dyDescent="0.2">
      <c r="B7" s="397"/>
      <c r="C7" s="399" t="s">
        <v>17</v>
      </c>
      <c r="D7" s="93" t="s">
        <v>10</v>
      </c>
      <c r="E7" s="94" t="s">
        <v>71</v>
      </c>
      <c r="F7" s="95">
        <v>0.25</v>
      </c>
    </row>
    <row r="8" spans="2:6" ht="31.5" x14ac:dyDescent="0.2">
      <c r="B8" s="397"/>
      <c r="C8" s="399"/>
      <c r="D8" s="93" t="s">
        <v>9</v>
      </c>
      <c r="E8" s="94" t="s">
        <v>72</v>
      </c>
      <c r="F8" s="95">
        <v>0.15</v>
      </c>
    </row>
    <row r="9" spans="2:6" ht="47.25" x14ac:dyDescent="0.2">
      <c r="B9" s="397" t="s">
        <v>162</v>
      </c>
      <c r="C9" s="399" t="s">
        <v>18</v>
      </c>
      <c r="D9" s="93" t="s">
        <v>19</v>
      </c>
      <c r="E9" s="94" t="s">
        <v>73</v>
      </c>
      <c r="F9" s="96" t="s">
        <v>74</v>
      </c>
    </row>
    <row r="10" spans="2:6" ht="63" x14ac:dyDescent="0.2">
      <c r="B10" s="397"/>
      <c r="C10" s="399"/>
      <c r="D10" s="93" t="s">
        <v>20</v>
      </c>
      <c r="E10" s="94" t="s">
        <v>75</v>
      </c>
      <c r="F10" s="96" t="s">
        <v>74</v>
      </c>
    </row>
    <row r="11" spans="2:6" ht="47.25" x14ac:dyDescent="0.2">
      <c r="B11" s="397"/>
      <c r="C11" s="399" t="s">
        <v>21</v>
      </c>
      <c r="D11" s="93" t="s">
        <v>22</v>
      </c>
      <c r="E11" s="94" t="s">
        <v>76</v>
      </c>
      <c r="F11" s="96" t="s">
        <v>74</v>
      </c>
    </row>
    <row r="12" spans="2:6" ht="47.25" x14ac:dyDescent="0.2">
      <c r="B12" s="397"/>
      <c r="C12" s="399"/>
      <c r="D12" s="93" t="s">
        <v>23</v>
      </c>
      <c r="E12" s="94" t="s">
        <v>77</v>
      </c>
      <c r="F12" s="96" t="s">
        <v>74</v>
      </c>
    </row>
    <row r="13" spans="2:6" ht="31.5" x14ac:dyDescent="0.2">
      <c r="B13" s="397"/>
      <c r="C13" s="399" t="s">
        <v>24</v>
      </c>
      <c r="D13" s="93" t="s">
        <v>119</v>
      </c>
      <c r="E13" s="94" t="s">
        <v>122</v>
      </c>
      <c r="F13" s="96" t="s">
        <v>74</v>
      </c>
    </row>
    <row r="14" spans="2:6" ht="32.25" thickBot="1" x14ac:dyDescent="0.25">
      <c r="B14" s="400"/>
      <c r="C14" s="401"/>
      <c r="D14" s="97" t="s">
        <v>120</v>
      </c>
      <c r="E14" s="98" t="s">
        <v>121</v>
      </c>
      <c r="F14" s="99" t="s">
        <v>74</v>
      </c>
    </row>
    <row r="15" spans="2:6" ht="49.5" customHeight="1" x14ac:dyDescent="0.2">
      <c r="B15" s="393" t="s">
        <v>159</v>
      </c>
      <c r="C15" s="393"/>
      <c r="D15" s="393"/>
      <c r="E15" s="393"/>
      <c r="F15" s="393"/>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2020-05-13T01:12:22Z</cp:lastPrinted>
  <dcterms:created xsi:type="dcterms:W3CDTF">2020-03-24T23:12:47Z</dcterms:created>
  <dcterms:modified xsi:type="dcterms:W3CDTF">2025-07-21T16:18:20Z</dcterms:modified>
</cp:coreProperties>
</file>