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hidePivotFieldList="1" defaultThemeVersion="124226"/>
  <mc:AlternateContent xmlns:mc="http://schemas.openxmlformats.org/markup-compatibility/2006">
    <mc:Choice Requires="x15">
      <x15ac:absPath xmlns:x15ac="http://schemas.microsoft.com/office/spreadsheetml/2010/11/ac" url="D:\Desktop\EQUIPO MIPG 2025\mapa de riesgos 2024 - copia\"/>
    </mc:Choice>
  </mc:AlternateContent>
  <xr:revisionPtr revIDLastSave="0" documentId="13_ncr:1_{BF344736-EE90-46F2-9496-7B42A3F396E8}" xr6:coauthVersionLast="47" xr6:coauthVersionMax="47" xr10:uidLastSave="{00000000-0000-0000-0000-000000000000}"/>
  <bookViews>
    <workbookView xWindow="-120" yWindow="-120" windowWidth="29040" windowHeight="15840" tabRatio="882" firstSheet="1"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91029"/>
  <pivotCaches>
    <pivotCache cacheId="1"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10" i="1" l="1"/>
  <c r="I10" i="1"/>
  <c r="T10" i="1" l="1"/>
  <c r="K26" i="1"/>
  <c r="K21" i="1"/>
  <c r="K33" i="1"/>
  <c r="K24" i="1"/>
  <c r="K29" i="1"/>
  <c r="K30" i="1"/>
  <c r="K17" i="1"/>
  <c r="K25" i="1"/>
  <c r="K23" i="1"/>
  <c r="K18" i="1"/>
  <c r="K27" i="1"/>
  <c r="K20" i="1"/>
  <c r="K19" i="1"/>
  <c r="K31" i="1"/>
  <c r="K32" i="1"/>
  <c r="F221" i="13" l="1"/>
  <c r="F211" i="13"/>
  <c r="F212" i="13"/>
  <c r="F213" i="13"/>
  <c r="F214" i="13"/>
  <c r="F215" i="13"/>
  <c r="F216" i="13"/>
  <c r="F217" i="13"/>
  <c r="F218" i="13"/>
  <c r="F219" i="13"/>
  <c r="F220" i="13"/>
  <c r="F210" i="13"/>
  <c r="B221" i="13" a="1"/>
  <c r="B221" i="13" l="1"/>
  <c r="Q16"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33" i="1" l="1"/>
  <c r="Q33" i="1"/>
  <c r="T32" i="1"/>
  <c r="Q32" i="1"/>
  <c r="T31" i="1"/>
  <c r="Q31" i="1"/>
  <c r="T30" i="1"/>
  <c r="Q30" i="1"/>
  <c r="T29" i="1"/>
  <c r="Q29" i="1"/>
  <c r="T28" i="1"/>
  <c r="Q28" i="1"/>
  <c r="AB29" i="1" s="1"/>
  <c r="H28" i="1"/>
  <c r="I28" i="1" s="1"/>
  <c r="T27" i="1"/>
  <c r="Q27" i="1"/>
  <c r="T26" i="1"/>
  <c r="Q26" i="1"/>
  <c r="T25" i="1"/>
  <c r="Q25" i="1"/>
  <c r="T24" i="1"/>
  <c r="Q24" i="1"/>
  <c r="T23" i="1"/>
  <c r="Q23" i="1"/>
  <c r="T22" i="1"/>
  <c r="Q22" i="1"/>
  <c r="H22" i="1"/>
  <c r="I22" i="1" s="1"/>
  <c r="T21" i="1"/>
  <c r="Q21" i="1"/>
  <c r="T20" i="1"/>
  <c r="Q20" i="1"/>
  <c r="T19" i="1"/>
  <c r="Q19" i="1"/>
  <c r="T18" i="1"/>
  <c r="Q18" i="1"/>
  <c r="T17" i="1"/>
  <c r="Q17" i="1"/>
  <c r="AB17" i="1" s="1"/>
  <c r="T16" i="1"/>
  <c r="H16" i="1"/>
  <c r="I16" i="1" s="1"/>
  <c r="T15" i="1"/>
  <c r="Q15" i="1"/>
  <c r="I15" i="1"/>
  <c r="T14" i="1"/>
  <c r="Q14" i="1"/>
  <c r="I14" i="1"/>
  <c r="T13" i="1"/>
  <c r="Q13" i="1"/>
  <c r="I13" i="1"/>
  <c r="T12" i="1"/>
  <c r="Q12" i="1"/>
  <c r="I12" i="1"/>
  <c r="T11" i="1"/>
  <c r="Q11" i="1"/>
  <c r="I11" i="1"/>
  <c r="AB23" i="1" l="1"/>
  <c r="X28" i="1"/>
  <c r="X22" i="1"/>
  <c r="X16" i="1"/>
  <c r="X15" i="1"/>
  <c r="X14" i="1"/>
  <c r="X13" i="1"/>
  <c r="X12" i="1"/>
  <c r="X11" i="1"/>
  <c r="Y28" i="1" l="1"/>
  <c r="Z28" i="1"/>
  <c r="X29" i="1" s="1"/>
  <c r="Y29" i="1" s="1"/>
  <c r="Y22" i="1"/>
  <c r="Z22" i="1"/>
  <c r="X23" i="1" s="1"/>
  <c r="Z23" i="1" s="1"/>
  <c r="X24" i="1" s="1"/>
  <c r="Y16" i="1"/>
  <c r="Z16" i="1"/>
  <c r="X17" i="1" s="1"/>
  <c r="Z17" i="1" s="1"/>
  <c r="X18" i="1" s="1"/>
  <c r="Y15" i="1"/>
  <c r="Z15" i="1"/>
  <c r="Y14" i="1"/>
  <c r="Z14" i="1"/>
  <c r="Y13" i="1"/>
  <c r="Z13" i="1"/>
  <c r="Y12" i="1"/>
  <c r="Z12" i="1"/>
  <c r="Y11" i="1"/>
  <c r="Z11" i="1"/>
  <c r="Y23" i="1" l="1"/>
  <c r="Y17" i="1"/>
  <c r="Z24" i="1"/>
  <c r="X25" i="1" s="1"/>
  <c r="Y24" i="1"/>
  <c r="Z18" i="1"/>
  <c r="X19" i="1" s="1"/>
  <c r="Y18" i="1"/>
  <c r="Z29" i="1"/>
  <c r="X30"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Y25" i="1" l="1"/>
  <c r="Z25" i="1"/>
  <c r="Y19" i="1"/>
  <c r="Z19" i="1"/>
  <c r="X20" i="1" s="1"/>
  <c r="Y30" i="1"/>
  <c r="Z30" i="1"/>
  <c r="X31" i="1" s="1"/>
  <c r="Y20" i="1" l="1"/>
  <c r="Z20" i="1"/>
  <c r="X21" i="1" s="1"/>
  <c r="X26" i="1"/>
  <c r="X27" i="1"/>
  <c r="Z31" i="1"/>
  <c r="Y31" i="1"/>
  <c r="Y27" i="1" l="1"/>
  <c r="Z27" i="1"/>
  <c r="Y26" i="1"/>
  <c r="Z26" i="1"/>
  <c r="Y21" i="1"/>
  <c r="Z21" i="1"/>
  <c r="X32" i="1"/>
  <c r="X33" i="1"/>
  <c r="X10" i="1"/>
  <c r="Y10" i="1" s="1"/>
  <c r="Y33" i="1" l="1"/>
  <c r="Z33" i="1"/>
  <c r="Y32" i="1"/>
  <c r="Z32" i="1"/>
  <c r="Z10" i="1" l="1"/>
  <c r="AB30" i="1" l="1"/>
  <c r="AB22" i="1"/>
  <c r="AB16" i="1"/>
  <c r="AA16" i="1" s="1"/>
  <c r="AC16" i="1" l="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22" i="1"/>
  <c r="AA29" i="1"/>
  <c r="AA30" i="1"/>
  <c r="AB31" i="1"/>
  <c r="AA17" i="1"/>
  <c r="AB18" i="1"/>
  <c r="AA23" i="1"/>
  <c r="AB24" i="1"/>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AA31" i="1"/>
  <c r="AB32" i="1"/>
  <c r="K35" i="19"/>
  <c r="AC25" i="19"/>
  <c r="K45" i="19"/>
  <c r="AI45" i="19"/>
  <c r="W45" i="19"/>
  <c r="Q35" i="19"/>
  <c r="K55" i="19"/>
  <c r="AC15" i="19"/>
  <c r="Q15" i="19"/>
  <c r="AC35" i="19"/>
  <c r="AI35" i="19"/>
  <c r="Q55" i="19"/>
  <c r="AI25" i="19"/>
  <c r="AC29"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23"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AC30"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22"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AA18" i="1"/>
  <c r="AB19" i="1"/>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A24" i="1"/>
  <c r="AB25" i="1"/>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AC17" i="1"/>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19" i="1"/>
  <c r="AB20" i="1"/>
  <c r="AA32" i="1"/>
  <c r="AB33" i="1"/>
  <c r="AA33"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AC18" i="1"/>
  <c r="X23" i="19"/>
  <c r="R33" i="19"/>
  <c r="R43" i="19"/>
  <c r="AD53" i="19"/>
  <c r="AJ13" i="19"/>
  <c r="R23" i="19"/>
  <c r="R13" i="19"/>
  <c r="AJ53" i="19"/>
  <c r="L33" i="19"/>
  <c r="L23" i="19"/>
  <c r="X43" i="19"/>
  <c r="X53" i="19"/>
  <c r="AD13" i="19"/>
  <c r="L53" i="19"/>
  <c r="L13" i="19"/>
  <c r="AD23" i="19"/>
  <c r="AJ33" i="19"/>
  <c r="AJ23" i="19"/>
  <c r="R53" i="19"/>
  <c r="M55" i="19"/>
  <c r="AK15" i="19"/>
  <c r="AE25" i="19"/>
  <c r="AC31"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A25" i="1"/>
  <c r="AB26" i="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AC24" i="1"/>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25"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C33" i="1"/>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32"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A20" i="1"/>
  <c r="AB21" i="1"/>
  <c r="AA21"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A26" i="1"/>
  <c r="AB27" i="1"/>
  <c r="AA27" i="1" s="1"/>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19"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27" i="1"/>
  <c r="AA14" i="19"/>
  <c r="O54" i="19"/>
  <c r="U44" i="19"/>
  <c r="U43" i="19"/>
  <c r="U13" i="19"/>
  <c r="AM53" i="19"/>
  <c r="AA53" i="19"/>
  <c r="AA43" i="19"/>
  <c r="O53" i="19"/>
  <c r="O23" i="19"/>
  <c r="O13" i="19"/>
  <c r="AG43" i="19"/>
  <c r="U33" i="19"/>
  <c r="U23" i="19"/>
  <c r="AM13" i="19"/>
  <c r="AM23" i="19"/>
  <c r="AG13" i="19"/>
  <c r="AA23" i="19"/>
  <c r="AG33" i="19"/>
  <c r="AA33" i="19"/>
  <c r="AM33" i="19"/>
  <c r="AA13" i="19"/>
  <c r="AC21"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26" i="1"/>
  <c r="AF53" i="19"/>
  <c r="T43" i="19"/>
  <c r="Z53" i="19"/>
  <c r="N43" i="19"/>
  <c r="T23" i="19"/>
  <c r="AF43" i="19"/>
  <c r="Z13" i="19"/>
  <c r="Z43" i="19"/>
  <c r="AF23" i="19"/>
  <c r="AL13" i="19"/>
  <c r="Z23" i="19"/>
  <c r="AL43" i="19"/>
  <c r="AF13" i="19"/>
  <c r="AL23" i="19"/>
  <c r="N13" i="19"/>
  <c r="T33" i="19"/>
  <c r="AL53" i="19"/>
  <c r="N23" i="19"/>
  <c r="N53" i="19"/>
  <c r="AF33" i="19"/>
  <c r="N33" i="19"/>
  <c r="AC20"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X6" i="18" l="1"/>
  <c r="AJ30" i="18"/>
  <c r="R22" i="18"/>
  <c r="L6" i="18"/>
  <c r="R30" i="18"/>
  <c r="X22" i="18"/>
  <c r="X38" i="18"/>
  <c r="AD38" i="18"/>
  <c r="AD22" i="18"/>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N13" i="1"/>
  <c r="L32" i="18"/>
  <c r="X8" i="18"/>
  <c r="X24" i="18"/>
  <c r="AJ8" i="18"/>
  <c r="M13" i="1"/>
  <c r="AB13" i="1" s="1"/>
  <c r="AA13" i="1" s="1"/>
  <c r="R40" i="18"/>
  <c r="L40" i="18"/>
  <c r="X16" i="18"/>
  <c r="L24" i="18"/>
  <c r="AJ24" i="18"/>
  <c r="X32" i="18"/>
  <c r="AJ40" i="18"/>
  <c r="R16" i="18"/>
  <c r="AD40" i="18"/>
  <c r="AD32" i="18"/>
  <c r="AD16" i="18"/>
  <c r="M15" i="1"/>
  <c r="AB15" i="1" s="1"/>
  <c r="AA15" i="1" s="1"/>
  <c r="J42" i="18"/>
  <c r="P34" i="18"/>
  <c r="AB18" i="18"/>
  <c r="AB42" i="18"/>
  <c r="AH34" i="18"/>
  <c r="P10" i="18"/>
  <c r="V34" i="18"/>
  <c r="P42" i="18"/>
  <c r="V42" i="18"/>
  <c r="AH42" i="18"/>
  <c r="AB26" i="18"/>
  <c r="AH26" i="18"/>
  <c r="V26" i="18"/>
  <c r="AB34" i="18"/>
  <c r="V10" i="18"/>
  <c r="AH18" i="18"/>
  <c r="J34" i="18"/>
  <c r="J10" i="18"/>
  <c r="AB10" i="18"/>
  <c r="J18" i="18"/>
  <c r="N15" i="1"/>
  <c r="P26" i="18"/>
  <c r="J26" i="18"/>
  <c r="AH10" i="18"/>
  <c r="P18" i="18"/>
  <c r="V18" i="18"/>
  <c r="T14" i="18"/>
  <c r="AL38" i="18"/>
  <c r="N14" i="18"/>
  <c r="Z6" i="18"/>
  <c r="T38" i="18"/>
  <c r="T22" i="18"/>
  <c r="AL14" i="18"/>
  <c r="N22" i="18"/>
  <c r="N11" i="1"/>
  <c r="AF22" i="18"/>
  <c r="N6" i="18"/>
  <c r="AF6" i="18"/>
  <c r="AF38" i="18"/>
  <c r="M11" i="1"/>
  <c r="AB11" i="1" s="1"/>
  <c r="AA11" i="1" s="1"/>
  <c r="N38" i="18"/>
  <c r="AL30" i="18"/>
  <c r="AL22" i="18"/>
  <c r="T6" i="18"/>
  <c r="AF14" i="18"/>
  <c r="AF30" i="18"/>
  <c r="Z22" i="18"/>
  <c r="T30" i="18"/>
  <c r="Z30" i="18"/>
  <c r="AL6" i="18"/>
  <c r="Z14" i="18"/>
  <c r="Z38" i="18"/>
  <c r="N30" i="18"/>
  <c r="J40" i="18"/>
  <c r="AB40" i="18"/>
  <c r="AH32" i="18"/>
  <c r="AB24" i="18"/>
  <c r="V16" i="18"/>
  <c r="M12" i="1"/>
  <c r="AB12" i="1" s="1"/>
  <c r="AA12" i="1" s="1"/>
  <c r="J16" i="18"/>
  <c r="P32" i="18"/>
  <c r="V24" i="18"/>
  <c r="P24" i="18"/>
  <c r="V40" i="18"/>
  <c r="P16" i="18"/>
  <c r="P40" i="18"/>
  <c r="V32" i="18"/>
  <c r="AH16" i="18"/>
  <c r="AB16" i="18"/>
  <c r="V8" i="18"/>
  <c r="AH24" i="18"/>
  <c r="AH8" i="18"/>
  <c r="AH40" i="18"/>
  <c r="J8" i="18"/>
  <c r="AB32" i="18"/>
  <c r="AB8" i="18"/>
  <c r="J24" i="18"/>
  <c r="J32" i="18"/>
  <c r="P8" i="18"/>
  <c r="N12" i="1"/>
  <c r="P14" i="18"/>
  <c r="V22" i="18"/>
  <c r="V14" i="18"/>
  <c r="P22" i="18"/>
  <c r="V38" i="18"/>
  <c r="AH14" i="18"/>
  <c r="AH38" i="18"/>
  <c r="J14" i="18"/>
  <c r="AB22" i="18"/>
  <c r="V30" i="18"/>
  <c r="AB14" i="18"/>
  <c r="AB38" i="18"/>
  <c r="J30" i="18"/>
  <c r="P38" i="18"/>
  <c r="AB6" i="18"/>
  <c r="M10" i="1"/>
  <c r="AB10" i="1" s="1"/>
  <c r="AA10" i="1" s="1"/>
  <c r="AH30" i="18"/>
  <c r="J38" i="18"/>
  <c r="AH6" i="18"/>
  <c r="V6" i="18"/>
  <c r="AB30" i="18"/>
  <c r="J22" i="18"/>
  <c r="J6" i="18"/>
  <c r="P30" i="18"/>
  <c r="AH22" i="18"/>
  <c r="P6" i="18"/>
  <c r="AF24" i="18"/>
  <c r="AF32" i="18"/>
  <c r="T40" i="18"/>
  <c r="M14" i="1"/>
  <c r="AB14" i="1" s="1"/>
  <c r="AA14" i="1" s="1"/>
  <c r="Z40" i="18"/>
  <c r="AL8" i="18"/>
  <c r="AF8" i="18"/>
  <c r="T8" i="18"/>
  <c r="Z16" i="18"/>
  <c r="T24" i="18"/>
  <c r="AL24" i="18"/>
  <c r="Z32" i="18"/>
  <c r="N32" i="18"/>
  <c r="N16" i="18"/>
  <c r="Z8" i="18"/>
  <c r="AL40" i="18"/>
  <c r="N8" i="18"/>
  <c r="N24" i="18"/>
  <c r="T32" i="18"/>
  <c r="T16" i="18"/>
  <c r="AF40" i="18"/>
  <c r="AF16" i="18"/>
  <c r="AL32" i="18"/>
  <c r="N40" i="18"/>
  <c r="Z24" i="18"/>
  <c r="AL16" i="18"/>
  <c r="N14" i="1"/>
  <c r="V32" i="19" l="1"/>
  <c r="P42" i="19"/>
  <c r="J12" i="19"/>
  <c r="J32" i="19"/>
  <c r="AB52" i="19"/>
  <c r="AC15" i="1"/>
  <c r="J22" i="19"/>
  <c r="V22" i="19"/>
  <c r="J52" i="19"/>
  <c r="AH12" i="19"/>
  <c r="J42" i="19"/>
  <c r="AH42" i="19"/>
  <c r="P32" i="19"/>
  <c r="AB12" i="19"/>
  <c r="AH32" i="19"/>
  <c r="AB32" i="19"/>
  <c r="AB42" i="19"/>
  <c r="V42" i="19"/>
  <c r="V12" i="19"/>
  <c r="V52" i="19"/>
  <c r="AB22" i="19"/>
  <c r="AH52" i="19"/>
  <c r="AH22" i="19"/>
  <c r="P22" i="19"/>
  <c r="P12" i="19"/>
  <c r="P52" i="19"/>
  <c r="J11" i="19"/>
  <c r="AB21" i="19"/>
  <c r="J31" i="19"/>
  <c r="AC14" i="1"/>
  <c r="P41" i="19"/>
  <c r="AB31" i="19"/>
  <c r="P21" i="19"/>
  <c r="V31" i="19"/>
  <c r="AB11" i="19"/>
  <c r="V21" i="19"/>
  <c r="V51" i="19"/>
  <c r="AH51" i="19"/>
  <c r="J41" i="19"/>
  <c r="V11" i="19"/>
  <c r="P31" i="19"/>
  <c r="AB41" i="19"/>
  <c r="AH41" i="19"/>
  <c r="J21" i="19"/>
  <c r="AB51" i="19"/>
  <c r="V41" i="19"/>
  <c r="AH21" i="19"/>
  <c r="P51" i="19"/>
  <c r="AH31" i="19"/>
  <c r="J51" i="19"/>
  <c r="AH11" i="19"/>
  <c r="P11" i="19"/>
  <c r="J40" i="19"/>
  <c r="AH20" i="19"/>
  <c r="V20" i="19"/>
  <c r="P10" i="19"/>
  <c r="J50" i="19"/>
  <c r="P30" i="19"/>
  <c r="P50" i="19"/>
  <c r="AH30" i="19"/>
  <c r="J10" i="19"/>
  <c r="AH50" i="19"/>
  <c r="V10" i="19"/>
  <c r="J20" i="19"/>
  <c r="V40" i="19"/>
  <c r="V30" i="19"/>
  <c r="J30" i="19"/>
  <c r="AH10" i="19"/>
  <c r="AB50" i="19"/>
  <c r="AB40" i="19"/>
  <c r="V50" i="19"/>
  <c r="AB10" i="19"/>
  <c r="AH40" i="19"/>
  <c r="AB20" i="19"/>
  <c r="AC13" i="1"/>
  <c r="P20" i="19"/>
  <c r="P40" i="19"/>
  <c r="AB30" i="19"/>
  <c r="AC12" i="1"/>
  <c r="AB39" i="19"/>
  <c r="P39" i="19"/>
  <c r="AB9" i="19"/>
  <c r="V9" i="19"/>
  <c r="J29" i="19"/>
  <c r="V29" i="19"/>
  <c r="AB49" i="19"/>
  <c r="P49" i="19"/>
  <c r="P19" i="19"/>
  <c r="AH39" i="19"/>
  <c r="AH19" i="19"/>
  <c r="AB19" i="19"/>
  <c r="J39" i="19"/>
  <c r="AH49" i="19"/>
  <c r="P9" i="19"/>
  <c r="V39" i="19"/>
  <c r="AH9" i="19"/>
  <c r="J19" i="19"/>
  <c r="P29" i="19"/>
  <c r="AB29" i="19"/>
  <c r="J49" i="19"/>
  <c r="V49" i="19"/>
  <c r="V19" i="19"/>
  <c r="AH29" i="19"/>
  <c r="J9" i="19"/>
  <c r="AC11" i="1"/>
  <c r="P18" i="19"/>
  <c r="P38" i="19"/>
  <c r="J28" i="19"/>
  <c r="AH38" i="19"/>
  <c r="J48" i="19"/>
  <c r="P48" i="19"/>
  <c r="V28" i="19"/>
  <c r="AB18" i="19"/>
  <c r="AB8" i="19"/>
  <c r="J8" i="19"/>
  <c r="P28" i="19"/>
  <c r="J18" i="19"/>
  <c r="AH8" i="19"/>
  <c r="AB28" i="19"/>
  <c r="AB48" i="19"/>
  <c r="V38" i="19"/>
  <c r="V8" i="19"/>
  <c r="AH28" i="19"/>
  <c r="AH48" i="19"/>
  <c r="AB38" i="19"/>
  <c r="AH18" i="19"/>
  <c r="V48" i="19"/>
  <c r="V18" i="19"/>
  <c r="P8" i="19"/>
  <c r="J38" i="19"/>
  <c r="J47" i="19"/>
  <c r="AH7" i="19"/>
  <c r="AB27" i="19"/>
  <c r="V47" i="19"/>
  <c r="J27" i="19"/>
  <c r="AH37" i="19"/>
  <c r="AB7" i="19"/>
  <c r="V17" i="19"/>
  <c r="P37" i="19"/>
  <c r="J7" i="19"/>
  <c r="AH17" i="19"/>
  <c r="AH27" i="19"/>
  <c r="V27" i="19"/>
  <c r="P47" i="19"/>
  <c r="J17" i="19"/>
  <c r="J37" i="19"/>
  <c r="AB37" i="19"/>
  <c r="V7" i="19"/>
  <c r="P27" i="19"/>
  <c r="P17" i="19"/>
  <c r="AH47" i="19"/>
  <c r="AB17" i="19"/>
  <c r="V37" i="19"/>
  <c r="P7" i="19"/>
  <c r="AB47" i="19"/>
  <c r="P16" i="19"/>
  <c r="P6" i="19"/>
  <c r="AH6" i="19"/>
  <c r="V46" i="19"/>
  <c r="AH46" i="19"/>
  <c r="AB46" i="19"/>
  <c r="J6" i="19"/>
  <c r="P46" i="19"/>
  <c r="AB26" i="19"/>
  <c r="AB16" i="19"/>
  <c r="AH26" i="19"/>
  <c r="J16" i="19"/>
  <c r="V26" i="19"/>
  <c r="AH36" i="19"/>
  <c r="P26" i="19"/>
  <c r="V16" i="19"/>
  <c r="V36" i="19"/>
  <c r="AC10" i="1"/>
  <c r="AH16" i="19"/>
  <c r="V6" i="19"/>
  <c r="AB36" i="19"/>
  <c r="AB6" i="19"/>
  <c r="P36" i="19"/>
  <c r="J36" i="19"/>
  <c r="J26" i="19"/>
  <c r="J46" i="19"/>
  <c r="K14" i="1" l="1"/>
  <c r="K10" i="1"/>
  <c r="K12" i="1"/>
  <c r="K11" i="1"/>
  <c r="K16" i="1"/>
  <c r="L16" i="1" s="1"/>
  <c r="K15" i="1"/>
  <c r="K13" i="1"/>
  <c r="K28" i="1"/>
  <c r="L28" i="1" s="1"/>
  <c r="K22" i="1"/>
  <c r="L22" i="1" s="1"/>
  <c r="Z42" i="18" l="1"/>
  <c r="T18" i="18"/>
  <c r="AF34" i="18"/>
  <c r="AF42" i="18"/>
  <c r="N42" i="18"/>
  <c r="Z18" i="18"/>
  <c r="AL10" i="18"/>
  <c r="AL26" i="18"/>
  <c r="AF26" i="18"/>
  <c r="Z10" i="18"/>
  <c r="N18" i="18"/>
  <c r="T26" i="18"/>
  <c r="AF10" i="18"/>
  <c r="T34" i="18"/>
  <c r="N26" i="18"/>
  <c r="AL18" i="18"/>
  <c r="N10" i="18"/>
  <c r="AF18" i="18"/>
  <c r="Z26" i="18"/>
  <c r="AL34" i="18"/>
  <c r="M22" i="1"/>
  <c r="Z34" i="18"/>
  <c r="T10" i="18"/>
  <c r="N22" i="1"/>
  <c r="AL42" i="18"/>
  <c r="N34" i="18"/>
  <c r="T42" i="18"/>
  <c r="AH12" i="18"/>
  <c r="J20" i="18"/>
  <c r="J44" i="18"/>
  <c r="AB28" i="18"/>
  <c r="P28" i="18"/>
  <c r="N28" i="1"/>
  <c r="P12" i="18"/>
  <c r="AH20" i="18"/>
  <c r="P44" i="18"/>
  <c r="AB12" i="18"/>
  <c r="P20" i="18"/>
  <c r="J36" i="18"/>
  <c r="P36" i="18"/>
  <c r="AB44" i="18"/>
  <c r="V44" i="18"/>
  <c r="J28" i="18"/>
  <c r="AH36" i="18"/>
  <c r="V12" i="18"/>
  <c r="V28" i="18"/>
  <c r="AH44" i="18"/>
  <c r="AB20" i="18"/>
  <c r="AB36" i="18"/>
  <c r="AH28" i="18"/>
  <c r="V36" i="18"/>
  <c r="V20" i="18"/>
  <c r="M28" i="1"/>
  <c r="AB28" i="1" s="1"/>
  <c r="AA28" i="1" s="1"/>
  <c r="J12" i="18"/>
  <c r="X42" i="18"/>
  <c r="AD34" i="18"/>
  <c r="AD10" i="18"/>
  <c r="AD26" i="18"/>
  <c r="L10" i="18"/>
  <c r="L42" i="18"/>
  <c r="L26" i="18"/>
  <c r="X18" i="18"/>
  <c r="X34" i="18"/>
  <c r="X10" i="18"/>
  <c r="R18" i="18"/>
  <c r="AJ10" i="18"/>
  <c r="AD42" i="18"/>
  <c r="AJ34" i="18"/>
  <c r="R26" i="18"/>
  <c r="M16" i="1"/>
  <c r="L18" i="18"/>
  <c r="AJ26" i="18"/>
  <c r="AD18" i="18"/>
  <c r="R34" i="18"/>
  <c r="L34" i="18"/>
  <c r="AJ42" i="18"/>
  <c r="R10" i="18"/>
  <c r="R42" i="18"/>
  <c r="X26" i="18"/>
  <c r="AJ18" i="18"/>
  <c r="N16" i="1"/>
  <c r="V25" i="19" l="1"/>
  <c r="V45" i="19"/>
  <c r="J15" i="19"/>
  <c r="AB45" i="19"/>
  <c r="AH25" i="19"/>
  <c r="AH55" i="19"/>
  <c r="AB15" i="19"/>
  <c r="P15" i="19"/>
  <c r="P45" i="19"/>
  <c r="V15" i="19"/>
  <c r="J35" i="19"/>
  <c r="AH45" i="19"/>
  <c r="J25" i="19"/>
  <c r="AB35" i="19"/>
  <c r="AH15" i="19"/>
  <c r="V35" i="19"/>
  <c r="J55" i="19"/>
  <c r="AB55" i="19"/>
  <c r="AC28" i="1"/>
  <c r="AB25" i="19"/>
  <c r="AH35" i="19"/>
  <c r="P55" i="19"/>
  <c r="J45" i="19"/>
  <c r="P25" i="19"/>
  <c r="P35" i="19"/>
  <c r="V55"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<sst xmlns="http://schemas.openxmlformats.org/spreadsheetml/2006/main" count="410" uniqueCount="245">
  <si>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</si>
  <si>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</si>
  <si>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</si>
  <si>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</si>
  <si>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</si>
  <si>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</si>
  <si>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</si>
  <si>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</si>
  <si>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</si>
  <si>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</si>
  <si>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</si>
  <si>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</si>
  <si>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</si>
  <si>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</si>
  <si>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</si>
  <si>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</si>
  <si>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</si>
  <si>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</si>
  <si>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</si>
  <si>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</si>
  <si>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</si>
  <si>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</si>
  <si>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</si>
  <si>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</si>
  <si>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</si>
  <si>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</si>
  <si>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</si>
  <si>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</si>
  <si>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</si>
  <si>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</si>
  <si>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</si>
  <si>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</si>
  <si>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</si>
  <si>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</si>
  <si>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</si>
  <si>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</si>
  <si>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</si>
  <si>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</si>
  <si>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</si>
  <si>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</si>
  <si>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</si>
  <si>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</si>
  <si>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</si>
  <si>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</si>
  <si>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</si>
  <si>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</si>
  <si>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</si>
  <si>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</si>
  <si>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</si>
  <si>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</si>
  <si>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</si>
  <si>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</si>
  <si>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</si>
  <si>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</si>
  <si>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</si>
  <si>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</si>
  <si>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</si>
  <si>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</si>
  <si>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</si>
  <si>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</si>
  <si>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</si>
  <si>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</si>
  <si>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</si>
  <si>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</si>
  <si>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</si>
  <si>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</si>
  <si>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</si>
  <si>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</si>
  <si>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</si>
  <si>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</si>
  <si>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</si>
  <si>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</si>
  <si>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</si>
  <si>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</si>
  <si>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</si>
  <si>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</si>
  <si>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</si>
  <si>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</si>
  <si>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</si>
  <si>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</si>
  <si>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</si>
  <si>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</si>
  <si>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</si>
  <si>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</si>
  <si>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</si>
  <si>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</si>
  <si>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</si>
  <si>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</si>
  <si>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</si>
  <si>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</si>
  <si>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</si>
  <si>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</si>
  <si>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</si>
  <si>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</si>
  <si>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</si>
  <si>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</si>
  <si>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</si>
  <si>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</si>
  <si>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</si>
  <si>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</si>
  <si>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</si>
  <si>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</si>
  <si>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</si>
  <si>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</si>
  <si>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</si>
  <si>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</si>
  <si>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</si>
  <si>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</si>
  <si>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</si>
  <si>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</si>
  <si>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</si>
  <si>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</si>
  <si>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</si>
  <si>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</si>
  <si>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</si>
  <si>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</si>
  <si>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</si>
  <si>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</si>
  <si>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</si>
  <si>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</si>
  <si>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</si>
  <si>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</si>
  <si>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</si>
  <si>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</si>
  <si>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</si>
  <si>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</si>
  <si>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</si>
  <si>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</si>
  <si>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</si>
  <si>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</si>
  <si>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</si>
  <si>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</si>
  <si>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</si>
  <si>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</si>
  <si>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</si>
  <si>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</si>
  <si>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</si>
  <si>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</si>
  <si>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</si>
  <si>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</si>
  <si>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</si>
  <si>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</si>
  <si>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</si>
  <si>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</si>
  <si>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</si>
  <si>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</si>
  <si>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</si>
  <si>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</si>
  <si>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</si>
  <si>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</si>
  <si>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</si>
  <si>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</si>
  <si>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</si>
  <si>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</si>
  <si>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</si>
  <si>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</si>
  <si>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</si>
  <si>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</si>
  <si>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</si>
  <si>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</si>
  <si>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</si>
  <si>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</si>
  <si>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</si>
  <si>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</si>
  <si>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</si>
  <si>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</si>
  <si>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</si>
  <si>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</si>
  <si>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</si>
  <si>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</si>
  <si>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</si>
  <si>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</si>
  <si>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</si>
  <si>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</si>
  <si>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</si>
  <si>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</si>
  <si>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</si>
  <si>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</si>
  <si>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</si>
  <si>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</si>
  <si>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</si>
  <si>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</si>
  <si>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</si>
  <si>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</si>
  <si>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</si>
  <si>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</si>
  <si>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</si>
  <si>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</si>
  <si>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</si>
  <si>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</si>
  <si>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</si>
  <si>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</si>
  <si>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</si>
  <si>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</si>
  <si>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</si>
  <si>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</si>
  <si>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</si>
  <si>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</si>
  <si>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</si>
  <si>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</si>
  <si>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</si>
  <si>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</si>
  <si>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</si>
  <si>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</si>
  <si>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</si>
  <si>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</si>
  <si>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</si>
  <si>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</si>
  <si>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</si>
  <si>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</si>
  <si>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</si>
  <si>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</si>
  <si>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</si>
  <si>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</si>
  <si>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GESTION DEL SIG</t>
  </si>
  <si>
    <t>Administrar el Sistema Integrado de Gestión de la EDAT S.A. E.S.P. OFICIAL, a través de la ejecución de acciones que propendan por el mejoramiento continuo de los procesos, fomentando la cultura de la calidad y la seguridad y salud en el trabajo.</t>
  </si>
  <si>
    <t>Cambios de Normatividad  DESCRIPCION                              'Incumplimiento en la documentación que debe presentarse a los Entes de control y Orgaizasmo certificador del SIG  por errores en la Planeación generada por cambios normativos que afecten el proceso de documentación</t>
  </si>
  <si>
    <t>Cambios en la normatividad vigente
Ajustes al Modelo Integrado de Planeación y Gestión</t>
  </si>
  <si>
    <t>VIGENCIA</t>
  </si>
  <si>
    <t>MODERADO</t>
  </si>
  <si>
    <t>MEDIA</t>
  </si>
  <si>
    <t>Plan Estratégico
Plan de Acción
Políticas del SIG 
Normas ISO 9001 
Actas de Comité Institucional de Gestión y Desempeño</t>
  </si>
  <si>
    <t xml:space="preserve">Actualización periódica del Normograma, consultando en las páginas web de entidades como el DAFP o el Congreso de la República cambios en la normatividad que define MIPG.
Programación de capacitaciones y/o jornadas de Reinducción. 
Comités de seguimiento o mesas de trabajo. 
</t>
  </si>
  <si>
    <t>Representante de la Alta Dirección para MIPG</t>
  </si>
  <si>
    <t>ALTA</t>
  </si>
  <si>
    <t>Falta de control en el manejo de la información documentada  DESCRIPCION                                     'Los documentos y registros que hacen parte del SIG, no se encuentran actualizados en sus últimas versiones, o no se ha realizado la publicación de los mismos. Se presenta el uso de doucmentos obsoletos</t>
  </si>
  <si>
    <t>Desconocimiento, en el control de documentos
Errores al ingreso de información en la plataforma Web 
Los responsables de procesos no entregan la información de manera oportuna.</t>
  </si>
  <si>
    <t>Procedimiento de elaboración y control de documentos
'Actas de Comités Institucionales de Gestión y Desempeño en donde se aprueban los documentos</t>
  </si>
  <si>
    <t>Capacitación para los líderes de procesos y de manera particular para el responsable del proceso de gestión del SIG y el profesional que opera la plataforma
Jornadas de inducción y/o reinducción
Seguimiento a la plataforma www.integrainfibague.com</t>
  </si>
  <si>
    <t>No se realiza una adecuada identificación y tratamiento de las salidas no conformes de los procesos                                  DESCRIPCION                                         'Los procesos identifican sus salidas no conformes, así como los controles que deben aplicar, pero no realizan el tratamiento de los mismos cuando se presenta</t>
  </si>
  <si>
    <t>Desconocimiento, en el control de salidas no conformes
Los responsables de procesos no realizan el tratamiento de manera oportuna.
NO se deja evidencia de las acciones tomadas para la liberación o entrega de las salidas no conformes</t>
  </si>
  <si>
    <t>Manual del SIG
Matriz de identificación de Salidas No Conformes
'Actas de Comités Institucionales de Gestión y Desempeño en donde se aprueban los documentos</t>
  </si>
  <si>
    <t>Capacitación para los líderes de procesos misionales
Jornadas de inducción y/o reinducción
Seguimiento a las salidas no conformes por parte de la oficina de planeación</t>
  </si>
  <si>
    <t>Incumplimiento de la primera línea de defensa en la entrega de los mapas de riesgo                       DESCRIPCION                              Incumplimiento en la entrega de informes a la Gerencia y demás órganos de control, debido al retraso o falta de autoseguimiento de los dueños de procesos sobre sus mapas de riesgos.</t>
  </si>
  <si>
    <t>Que no se puedan consolidar los insumos necesarios para la preparación del Informe de Revisión por la Dirección en cumplimiento del numeral 9.3 Revisión por la dirección de las normas ISO</t>
  </si>
  <si>
    <t>Manual del SIG
Auditorías internas al SIG</t>
  </si>
  <si>
    <t>Solicitud de los insumos necesarios para la revisión por la dirección, con el debido tiempo de anticipación, para que cada responsable del proceso reporte de manera oportuna la información</t>
  </si>
  <si>
    <t>Debilidades en la generación de informes de auditorías internas al SIG                                              DESCRIPCION                                  Debilidades en la generación de informes de auditorías internas al SIG, por la no adecuada identificación de los requisitos o criterios auditados o por falta de competencia de los auditores internos</t>
  </si>
  <si>
    <t>Debilidades en la capacitación de auditores internos
Falta de compromiso de los equipos auditores
Desconocimiento de los numerales de la norma</t>
  </si>
  <si>
    <t>Manual del SIG
Procedimiento Auditorías internas al SIG</t>
  </si>
  <si>
    <t>Capacitaciones para los auditores internos
Evaluación de los auditores internos por auditor líder
Evaluación de los auditores internos por parte de los auditados</t>
  </si>
  <si>
    <t xml:space="preserve">Errores en la aplicación de controles y su efectividad  DESCRIPCION  '                                               No se realizan las actividades de seguimiento y evaluación del proceso de conformidad con lo definido en la caracterización del proceso </t>
  </si>
  <si>
    <t>Aplicación errada de controles, mala identificación de los planes de acción o actividades planeadas
Inadecuada medición de los indicadores de procesos
Debilidades en la documentación de acciones correctivas y de mejora</t>
  </si>
  <si>
    <t>Verificación permanente de las actividades definidas en la Caracterización del Proceso</t>
  </si>
  <si>
    <t>Permanente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</si>
</sst>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1"/>
      <name val="Arial"/>
      <family val="2"/>
    </font>
    <font>
      <b/>
      <sz val="16"/>
      <name val="Arial"/>
      <family val="2"/>
    </font>
    <font>
      <sz val="12"/>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4"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0" fontId="59" fillId="3" borderId="33" xfId="0" quotePrefix="1" applyFont="1" applyFill="1" applyBorder="1" applyAlignment="1">
      <alignment horizontal="center" vertical="center" wrapText="1"/>
    </xf>
    <xf numFmtId="0" fontId="48" fillId="0" borderId="33" xfId="0" applyFont="1" applyBorder="1" applyAlignment="1">
      <alignment horizontal="center" vertical="center" wrapText="1"/>
    </xf>
    <xf numFmtId="14" fontId="48" fillId="0" borderId="33" xfId="0" applyNumberFormat="1" applyFont="1" applyBorder="1" applyAlignment="1">
      <alignment horizontal="center" vertical="center" wrapText="1"/>
    </xf>
    <xf numFmtId="0" fontId="48" fillId="0" borderId="33" xfId="0" applyFont="1" applyBorder="1" applyAlignment="1">
      <alignment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60" fillId="0" borderId="35" xfId="0" applyFont="1" applyBorder="1" applyAlignment="1">
      <alignment horizontal="center" vertical="center"/>
    </xf>
    <xf numFmtId="0" fontId="60" fillId="0" borderId="36" xfId="0" applyFont="1" applyBorder="1" applyAlignment="1">
      <alignment horizontal="center" vertical="center"/>
    </xf>
    <xf numFmtId="0" fontId="60" fillId="0" borderId="47" xfId="0" applyFont="1" applyBorder="1" applyAlignment="1">
      <alignment horizontal="center" vertical="center"/>
    </xf>
    <xf numFmtId="0" fontId="61" fillId="0" borderId="35" xfId="0" applyFont="1" applyBorder="1" applyAlignment="1">
      <alignment horizontal="left" vertical="center" wrapText="1"/>
    </xf>
    <xf numFmtId="0" fontId="61" fillId="0" borderId="36" xfId="0" applyFont="1" applyBorder="1" applyAlignment="1">
      <alignment horizontal="left" vertical="center" wrapText="1"/>
    </xf>
    <xf numFmtId="0" fontId="61" fillId="0" borderId="47" xfId="0" applyFont="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7">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375556</xdr:colOff>
      <xdr:row>2</xdr:row>
      <xdr:rowOff>182336</xdr:rowOff>
    </xdr:from>
    <xdr:to>
      <xdr:col>25</xdr:col>
      <xdr:colOff>239487</xdr:colOff>
      <xdr:row>5</xdr:row>
      <xdr:rowOff>484415</xdr:rowOff>
    </xdr:to>
    <xdr:pic>
      <xdr:nvPicPr>
        <xdr:cNvPr id="7" name="Imagen 6" descr="logo final edat">
          <a:extLst>
            <a:ext uri="{FF2B5EF4-FFF2-40B4-BE49-F238E27FC236}">
              <a16:creationId xmlns:a16="http://schemas.microsoft.com/office/drawing/2014/main" id="{00000000-0008-0000-01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92156" y="696686"/>
          <a:ext cx="1902280" cy="1249136"/>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C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49" t="s">
        <v>166</v>
      </c>
      <c r="C2" s="150"/>
      <c r="D2" s="150"/>
      <c r="E2" s="150"/>
      <c r="F2" s="150"/>
      <c r="G2" s="150"/>
      <c r="H2" s="151"/>
    </row>
    <row r="3" spans="2:8" x14ac:dyDescent="0.25">
      <c r="B3" s="84"/>
      <c r="C3" s="85"/>
      <c r="D3" s="85"/>
      <c r="E3" s="85"/>
      <c r="F3" s="85"/>
      <c r="G3" s="85"/>
      <c r="H3" s="86"/>
    </row>
    <row r="4" spans="2:8" ht="63" customHeight="1" x14ac:dyDescent="0.25">
      <c r="B4" s="152" t="s">
        <v>209</v>
      </c>
      <c r="C4" s="153"/>
      <c r="D4" s="153"/>
      <c r="E4" s="153"/>
      <c r="F4" s="153"/>
      <c r="G4" s="153"/>
      <c r="H4" s="154"/>
    </row>
    <row r="5" spans="2:8" ht="63" customHeight="1" x14ac:dyDescent="0.25">
      <c r="B5" s="155"/>
      <c r="C5" s="156"/>
      <c r="D5" s="156"/>
      <c r="E5" s="156"/>
      <c r="F5" s="156"/>
      <c r="G5" s="156"/>
      <c r="H5" s="157"/>
    </row>
    <row r="6" spans="2:8" ht="16.5" x14ac:dyDescent="0.25">
      <c r="B6" s="158" t="s">
        <v>164</v>
      </c>
      <c r="C6" s="159"/>
      <c r="D6" s="159"/>
      <c r="E6" s="159"/>
      <c r="F6" s="159"/>
      <c r="G6" s="159"/>
      <c r="H6" s="160"/>
    </row>
    <row r="7" spans="2:8" ht="95.25" customHeight="1" x14ac:dyDescent="0.25">
      <c r="B7" s="168" t="s">
        <v>169</v>
      </c>
      <c r="C7" s="169"/>
      <c r="D7" s="169"/>
      <c r="E7" s="169"/>
      <c r="F7" s="169"/>
      <c r="G7" s="169"/>
      <c r="H7" s="170"/>
    </row>
    <row r="8" spans="2:8" ht="16.5" x14ac:dyDescent="0.25">
      <c r="B8" s="120"/>
      <c r="C8" s="121"/>
      <c r="D8" s="121"/>
      <c r="E8" s="121"/>
      <c r="F8" s="121"/>
      <c r="G8" s="121"/>
      <c r="H8" s="122"/>
    </row>
    <row r="9" spans="2:8" ht="16.5" customHeight="1" x14ac:dyDescent="0.25">
      <c r="B9" s="161" t="s">
        <v>202</v>
      </c>
      <c r="C9" s="162"/>
      <c r="D9" s="162"/>
      <c r="E9" s="162"/>
      <c r="F9" s="162"/>
      <c r="G9" s="162"/>
      <c r="H9" s="163"/>
    </row>
    <row r="10" spans="2:8" ht="44.25" customHeight="1" x14ac:dyDescent="0.25">
      <c r="B10" s="161"/>
      <c r="C10" s="162"/>
      <c r="D10" s="162"/>
      <c r="E10" s="162"/>
      <c r="F10" s="162"/>
      <c r="G10" s="162"/>
      <c r="H10" s="163"/>
    </row>
    <row r="11" spans="2:8" ht="15.75" thickBot="1" x14ac:dyDescent="0.3">
      <c r="B11" s="109"/>
      <c r="C11" s="112"/>
      <c r="D11" s="117"/>
      <c r="E11" s="118"/>
      <c r="F11" s="118"/>
      <c r="G11" s="119"/>
      <c r="H11" s="113"/>
    </row>
    <row r="12" spans="2:8" ht="15.75" thickTop="1" x14ac:dyDescent="0.25">
      <c r="B12" s="109"/>
      <c r="C12" s="164" t="s">
        <v>165</v>
      </c>
      <c r="D12" s="165"/>
      <c r="E12" s="166" t="s">
        <v>203</v>
      </c>
      <c r="F12" s="167"/>
      <c r="G12" s="112"/>
      <c r="H12" s="113"/>
    </row>
    <row r="13" spans="2:8" ht="35.25" customHeight="1" x14ac:dyDescent="0.25">
      <c r="B13" s="109"/>
      <c r="C13" s="171" t="s">
        <v>196</v>
      </c>
      <c r="D13" s="172"/>
      <c r="E13" s="173" t="s">
        <v>201</v>
      </c>
      <c r="F13" s="174"/>
      <c r="G13" s="112"/>
      <c r="H13" s="113"/>
    </row>
    <row r="14" spans="2:8" ht="17.25" customHeight="1" x14ac:dyDescent="0.25">
      <c r="B14" s="109"/>
      <c r="C14" s="171" t="s">
        <v>197</v>
      </c>
      <c r="D14" s="172"/>
      <c r="E14" s="173" t="s">
        <v>199</v>
      </c>
      <c r="F14" s="174"/>
      <c r="G14" s="112"/>
      <c r="H14" s="113"/>
    </row>
    <row r="15" spans="2:8" ht="19.5" customHeight="1" x14ac:dyDescent="0.25">
      <c r="B15" s="109"/>
      <c r="C15" s="171" t="s">
        <v>198</v>
      </c>
      <c r="D15" s="172"/>
      <c r="E15" s="173" t="s">
        <v>200</v>
      </c>
      <c r="F15" s="174"/>
      <c r="G15" s="112"/>
      <c r="H15" s="113"/>
    </row>
    <row r="16" spans="2:8" ht="69.75" customHeight="1" x14ac:dyDescent="0.25">
      <c r="B16" s="109"/>
      <c r="C16" s="171" t="s">
        <v>167</v>
      </c>
      <c r="D16" s="172"/>
      <c r="E16" s="173" t="s">
        <v>168</v>
      </c>
      <c r="F16" s="174"/>
      <c r="G16" s="112"/>
      <c r="H16" s="113"/>
    </row>
    <row r="17" spans="2:8" ht="34.5" customHeight="1" x14ac:dyDescent="0.25">
      <c r="B17" s="109"/>
      <c r="C17" s="175" t="s">
        <v>2</v>
      </c>
      <c r="D17" s="176"/>
      <c r="E17" s="177" t="s">
        <v>210</v>
      </c>
      <c r="F17" s="178"/>
      <c r="G17" s="112"/>
      <c r="H17" s="113"/>
    </row>
    <row r="18" spans="2:8" ht="27.75" customHeight="1" x14ac:dyDescent="0.25">
      <c r="B18" s="109"/>
      <c r="C18" s="175" t="s">
        <v>3</v>
      </c>
      <c r="D18" s="176"/>
      <c r="E18" s="177" t="s">
        <v>211</v>
      </c>
      <c r="F18" s="178"/>
      <c r="G18" s="112"/>
      <c r="H18" s="113"/>
    </row>
    <row r="19" spans="2:8" ht="28.5" customHeight="1" x14ac:dyDescent="0.25">
      <c r="B19" s="109"/>
      <c r="C19" s="175" t="s">
        <v>42</v>
      </c>
      <c r="D19" s="176"/>
      <c r="E19" s="177" t="s">
        <v>212</v>
      </c>
      <c r="F19" s="178"/>
      <c r="G19" s="112"/>
      <c r="H19" s="113"/>
    </row>
    <row r="20" spans="2:8" ht="72.75" customHeight="1" x14ac:dyDescent="0.25">
      <c r="B20" s="109"/>
      <c r="C20" s="175" t="s">
        <v>1</v>
      </c>
      <c r="D20" s="176"/>
      <c r="E20" s="177" t="s">
        <v>213</v>
      </c>
      <c r="F20" s="178"/>
      <c r="G20" s="112"/>
      <c r="H20" s="113"/>
    </row>
    <row r="21" spans="2:8" ht="64.5" customHeight="1" x14ac:dyDescent="0.25">
      <c r="B21" s="109"/>
      <c r="C21" s="175" t="s">
        <v>50</v>
      </c>
      <c r="D21" s="176"/>
      <c r="E21" s="177" t="s">
        <v>171</v>
      </c>
      <c r="F21" s="178"/>
      <c r="G21" s="112"/>
      <c r="H21" s="113"/>
    </row>
    <row r="22" spans="2:8" ht="71.25" customHeight="1" x14ac:dyDescent="0.25">
      <c r="B22" s="109"/>
      <c r="C22" s="175" t="s">
        <v>170</v>
      </c>
      <c r="D22" s="176"/>
      <c r="E22" s="177" t="s">
        <v>172</v>
      </c>
      <c r="F22" s="178"/>
      <c r="G22" s="112"/>
      <c r="H22" s="113"/>
    </row>
    <row r="23" spans="2:8" ht="55.5" customHeight="1" x14ac:dyDescent="0.25">
      <c r="B23" s="109"/>
      <c r="C23" s="182" t="s">
        <v>173</v>
      </c>
      <c r="D23" s="183"/>
      <c r="E23" s="177" t="s">
        <v>174</v>
      </c>
      <c r="F23" s="178"/>
      <c r="G23" s="112"/>
      <c r="H23" s="113"/>
    </row>
    <row r="24" spans="2:8" ht="42" customHeight="1" x14ac:dyDescent="0.25">
      <c r="B24" s="109"/>
      <c r="C24" s="182" t="s">
        <v>48</v>
      </c>
      <c r="D24" s="183"/>
      <c r="E24" s="177" t="s">
        <v>175</v>
      </c>
      <c r="F24" s="178"/>
      <c r="G24" s="112"/>
      <c r="H24" s="113"/>
    </row>
    <row r="25" spans="2:8" ht="59.25" customHeight="1" x14ac:dyDescent="0.25">
      <c r="B25" s="109"/>
      <c r="C25" s="182" t="s">
        <v>163</v>
      </c>
      <c r="D25" s="183"/>
      <c r="E25" s="177" t="s">
        <v>176</v>
      </c>
      <c r="F25" s="178"/>
      <c r="G25" s="112"/>
      <c r="H25" s="113"/>
    </row>
    <row r="26" spans="2:8" ht="23.25" customHeight="1" x14ac:dyDescent="0.25">
      <c r="B26" s="109"/>
      <c r="C26" s="182" t="s">
        <v>12</v>
      </c>
      <c r="D26" s="183"/>
      <c r="E26" s="177" t="s">
        <v>177</v>
      </c>
      <c r="F26" s="178"/>
      <c r="G26" s="112"/>
      <c r="H26" s="113"/>
    </row>
    <row r="27" spans="2:8" ht="30.75" customHeight="1" x14ac:dyDescent="0.25">
      <c r="B27" s="109"/>
      <c r="C27" s="182" t="s">
        <v>181</v>
      </c>
      <c r="D27" s="183"/>
      <c r="E27" s="177" t="s">
        <v>178</v>
      </c>
      <c r="F27" s="178"/>
      <c r="G27" s="112"/>
      <c r="H27" s="113"/>
    </row>
    <row r="28" spans="2:8" ht="35.25" customHeight="1" x14ac:dyDescent="0.25">
      <c r="B28" s="109"/>
      <c r="C28" s="182" t="s">
        <v>182</v>
      </c>
      <c r="D28" s="183"/>
      <c r="E28" s="177" t="s">
        <v>179</v>
      </c>
      <c r="F28" s="178"/>
      <c r="G28" s="112"/>
      <c r="H28" s="113"/>
    </row>
    <row r="29" spans="2:8" ht="33" customHeight="1" x14ac:dyDescent="0.25">
      <c r="B29" s="109"/>
      <c r="C29" s="182" t="s">
        <v>182</v>
      </c>
      <c r="D29" s="183"/>
      <c r="E29" s="177" t="s">
        <v>179</v>
      </c>
      <c r="F29" s="178"/>
      <c r="G29" s="112"/>
      <c r="H29" s="113"/>
    </row>
    <row r="30" spans="2:8" ht="30" customHeight="1" x14ac:dyDescent="0.25">
      <c r="B30" s="109"/>
      <c r="C30" s="182" t="s">
        <v>183</v>
      </c>
      <c r="D30" s="183"/>
      <c r="E30" s="177" t="s">
        <v>180</v>
      </c>
      <c r="F30" s="178"/>
      <c r="G30" s="112"/>
      <c r="H30" s="113"/>
    </row>
    <row r="31" spans="2:8" ht="35.25" customHeight="1" x14ac:dyDescent="0.25">
      <c r="B31" s="109"/>
      <c r="C31" s="182" t="s">
        <v>184</v>
      </c>
      <c r="D31" s="183"/>
      <c r="E31" s="177" t="s">
        <v>185</v>
      </c>
      <c r="F31" s="178"/>
      <c r="G31" s="112"/>
      <c r="H31" s="113"/>
    </row>
    <row r="32" spans="2:8" ht="31.5" customHeight="1" x14ac:dyDescent="0.25">
      <c r="B32" s="109"/>
      <c r="C32" s="182" t="s">
        <v>186</v>
      </c>
      <c r="D32" s="183"/>
      <c r="E32" s="177" t="s">
        <v>187</v>
      </c>
      <c r="F32" s="178"/>
      <c r="G32" s="112"/>
      <c r="H32" s="113"/>
    </row>
    <row r="33" spans="2:8" ht="35.25" customHeight="1" x14ac:dyDescent="0.25">
      <c r="B33" s="109"/>
      <c r="C33" s="182" t="s">
        <v>188</v>
      </c>
      <c r="D33" s="183"/>
      <c r="E33" s="177" t="s">
        <v>189</v>
      </c>
      <c r="F33" s="178"/>
      <c r="G33" s="112"/>
      <c r="H33" s="113"/>
    </row>
    <row r="34" spans="2:8" ht="59.25" customHeight="1" x14ac:dyDescent="0.25">
      <c r="B34" s="109"/>
      <c r="C34" s="182" t="s">
        <v>190</v>
      </c>
      <c r="D34" s="183"/>
      <c r="E34" s="177" t="s">
        <v>191</v>
      </c>
      <c r="F34" s="178"/>
      <c r="G34" s="112"/>
      <c r="H34" s="113"/>
    </row>
    <row r="35" spans="2:8" ht="29.25" customHeight="1" x14ac:dyDescent="0.25">
      <c r="B35" s="109"/>
      <c r="C35" s="182" t="s">
        <v>29</v>
      </c>
      <c r="D35" s="183"/>
      <c r="E35" s="177" t="s">
        <v>192</v>
      </c>
      <c r="F35" s="178"/>
      <c r="G35" s="112"/>
      <c r="H35" s="113"/>
    </row>
    <row r="36" spans="2:8" ht="82.5" customHeight="1" x14ac:dyDescent="0.25">
      <c r="B36" s="109"/>
      <c r="C36" s="182" t="s">
        <v>194</v>
      </c>
      <c r="D36" s="183"/>
      <c r="E36" s="177" t="s">
        <v>193</v>
      </c>
      <c r="F36" s="178"/>
      <c r="G36" s="112"/>
      <c r="H36" s="113"/>
    </row>
    <row r="37" spans="2:8" ht="46.5" customHeight="1" x14ac:dyDescent="0.25">
      <c r="B37" s="109"/>
      <c r="C37" s="182" t="s">
        <v>39</v>
      </c>
      <c r="D37" s="183"/>
      <c r="E37" s="177" t="s">
        <v>195</v>
      </c>
      <c r="F37" s="178"/>
      <c r="G37" s="112"/>
      <c r="H37" s="113"/>
    </row>
    <row r="38" spans="2:8" ht="6.75" customHeight="1" thickBot="1" x14ac:dyDescent="0.3">
      <c r="B38" s="109"/>
      <c r="C38" s="184"/>
      <c r="D38" s="185"/>
      <c r="E38" s="186"/>
      <c r="F38" s="187"/>
      <c r="G38" s="112"/>
      <c r="H38" s="113"/>
    </row>
    <row r="39" spans="2:8" ht="15.75" thickTop="1" x14ac:dyDescent="0.25">
      <c r="B39" s="109"/>
      <c r="C39" s="110"/>
      <c r="D39" s="110"/>
      <c r="E39" s="111"/>
      <c r="F39" s="111"/>
      <c r="G39" s="112"/>
      <c r="H39" s="113"/>
    </row>
    <row r="40" spans="2:8" ht="21" customHeight="1" x14ac:dyDescent="0.25">
      <c r="B40" s="179" t="s">
        <v>204</v>
      </c>
      <c r="C40" s="180"/>
      <c r="D40" s="180"/>
      <c r="E40" s="180"/>
      <c r="F40" s="180"/>
      <c r="G40" s="180"/>
      <c r="H40" s="181"/>
    </row>
    <row r="41" spans="2:8" ht="20.25" customHeight="1" x14ac:dyDescent="0.25">
      <c r="B41" s="179" t="s">
        <v>205</v>
      </c>
      <c r="C41" s="180"/>
      <c r="D41" s="180"/>
      <c r="E41" s="180"/>
      <c r="F41" s="180"/>
      <c r="G41" s="180"/>
      <c r="H41" s="181"/>
    </row>
    <row r="42" spans="2:8" ht="20.25" customHeight="1" x14ac:dyDescent="0.25">
      <c r="B42" s="179" t="s">
        <v>206</v>
      </c>
      <c r="C42" s="180"/>
      <c r="D42" s="180"/>
      <c r="E42" s="180"/>
      <c r="F42" s="180"/>
      <c r="G42" s="180"/>
      <c r="H42" s="181"/>
    </row>
    <row r="43" spans="2:8" ht="20.25" customHeight="1" x14ac:dyDescent="0.25">
      <c r="B43" s="179" t="s">
        <v>207</v>
      </c>
      <c r="C43" s="180"/>
      <c r="D43" s="180"/>
      <c r="E43" s="180"/>
      <c r="F43" s="180"/>
      <c r="G43" s="180"/>
      <c r="H43" s="181"/>
    </row>
    <row r="44" spans="2:8" x14ac:dyDescent="0.25">
      <c r="B44" s="179" t="s">
        <v>208</v>
      </c>
      <c r="C44" s="180"/>
      <c r="D44" s="180"/>
      <c r="E44" s="180"/>
      <c r="F44" s="180"/>
      <c r="G44" s="180"/>
      <c r="H44" s="181"/>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36"/>
  <sheetViews>
    <sheetView tabSelected="1" topLeftCell="C10" zoomScaleNormal="100" workbookViewId="0">
      <selection activeCell="C5" sqref="C5:Q5"/>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23.8554687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0.42578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13"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230" t="s">
        <v>144</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2"/>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33"/>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5"/>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ht="17.25" thickBot="1" x14ac:dyDescent="0.35">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thickBot="1" x14ac:dyDescent="0.35">
      <c r="A4" s="239" t="s">
        <v>43</v>
      </c>
      <c r="B4" s="240"/>
      <c r="C4" s="393" t="s">
        <v>214</v>
      </c>
      <c r="D4" s="394"/>
      <c r="E4" s="394"/>
      <c r="F4" s="394"/>
      <c r="G4" s="394"/>
      <c r="H4" s="394"/>
      <c r="I4" s="394"/>
      <c r="J4" s="394"/>
      <c r="K4" s="394"/>
      <c r="L4" s="394"/>
      <c r="M4" s="394"/>
      <c r="N4" s="395"/>
      <c r="O4" s="229"/>
      <c r="P4" s="229"/>
      <c r="Q4" s="229"/>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thickBot="1" x14ac:dyDescent="0.35">
      <c r="A5" s="239" t="s">
        <v>130</v>
      </c>
      <c r="B5" s="240"/>
      <c r="C5" s="396" t="s">
        <v>215</v>
      </c>
      <c r="D5" s="397"/>
      <c r="E5" s="397"/>
      <c r="F5" s="397"/>
      <c r="G5" s="397"/>
      <c r="H5" s="397"/>
      <c r="I5" s="397"/>
      <c r="J5" s="397"/>
      <c r="K5" s="397"/>
      <c r="L5" s="397"/>
      <c r="M5" s="397"/>
      <c r="N5" s="397"/>
      <c r="O5" s="397"/>
      <c r="P5" s="397"/>
      <c r="Q5" s="39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39" t="s">
        <v>44</v>
      </c>
      <c r="B6" s="240"/>
      <c r="C6" s="200"/>
      <c r="D6" s="201"/>
      <c r="E6" s="201"/>
      <c r="F6" s="201"/>
      <c r="G6" s="201"/>
      <c r="H6" s="201"/>
      <c r="I6" s="201"/>
      <c r="J6" s="201"/>
      <c r="K6" s="201"/>
      <c r="L6" s="201"/>
      <c r="M6" s="201"/>
      <c r="N6" s="20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6" t="s">
        <v>139</v>
      </c>
      <c r="B7" s="237"/>
      <c r="C7" s="237"/>
      <c r="D7" s="237"/>
      <c r="E7" s="237"/>
      <c r="F7" s="237"/>
      <c r="G7" s="238"/>
      <c r="H7" s="236" t="s">
        <v>140</v>
      </c>
      <c r="I7" s="237"/>
      <c r="J7" s="237"/>
      <c r="K7" s="237"/>
      <c r="L7" s="237"/>
      <c r="M7" s="237"/>
      <c r="N7" s="238"/>
      <c r="O7" s="236" t="s">
        <v>141</v>
      </c>
      <c r="P7" s="237"/>
      <c r="Q7" s="237"/>
      <c r="R7" s="237"/>
      <c r="S7" s="237"/>
      <c r="T7" s="237"/>
      <c r="U7" s="237"/>
      <c r="V7" s="237"/>
      <c r="W7" s="238"/>
      <c r="X7" s="236" t="s">
        <v>142</v>
      </c>
      <c r="Y7" s="237"/>
      <c r="Z7" s="237"/>
      <c r="AA7" s="237"/>
      <c r="AB7" s="237"/>
      <c r="AC7" s="237"/>
      <c r="AD7" s="238"/>
      <c r="AE7" s="236" t="s">
        <v>34</v>
      </c>
      <c r="AF7" s="237"/>
      <c r="AG7" s="237"/>
      <c r="AH7" s="237"/>
      <c r="AI7" s="237"/>
      <c r="AJ7" s="23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192" t="s">
        <v>0</v>
      </c>
      <c r="B8" s="197" t="s">
        <v>2</v>
      </c>
      <c r="C8" s="195" t="s">
        <v>3</v>
      </c>
      <c r="D8" s="195" t="s">
        <v>42</v>
      </c>
      <c r="E8" s="196" t="s">
        <v>1</v>
      </c>
      <c r="F8" s="194" t="s">
        <v>50</v>
      </c>
      <c r="G8" s="195" t="s">
        <v>135</v>
      </c>
      <c r="H8" s="204" t="s">
        <v>33</v>
      </c>
      <c r="I8" s="188" t="s">
        <v>5</v>
      </c>
      <c r="J8" s="194" t="s">
        <v>87</v>
      </c>
      <c r="K8" s="194" t="s">
        <v>92</v>
      </c>
      <c r="L8" s="190" t="s">
        <v>45</v>
      </c>
      <c r="M8" s="188" t="s">
        <v>5</v>
      </c>
      <c r="N8" s="195" t="s">
        <v>48</v>
      </c>
      <c r="O8" s="198" t="s">
        <v>11</v>
      </c>
      <c r="P8" s="191" t="s">
        <v>163</v>
      </c>
      <c r="Q8" s="194" t="s">
        <v>12</v>
      </c>
      <c r="R8" s="191" t="s">
        <v>8</v>
      </c>
      <c r="S8" s="191"/>
      <c r="T8" s="191"/>
      <c r="U8" s="191"/>
      <c r="V8" s="191"/>
      <c r="W8" s="191"/>
      <c r="X8" s="203" t="s">
        <v>138</v>
      </c>
      <c r="Y8" s="203" t="s">
        <v>46</v>
      </c>
      <c r="Z8" s="203" t="s">
        <v>5</v>
      </c>
      <c r="AA8" s="203" t="s">
        <v>47</v>
      </c>
      <c r="AB8" s="203" t="s">
        <v>5</v>
      </c>
      <c r="AC8" s="203" t="s">
        <v>49</v>
      </c>
      <c r="AD8" s="198" t="s">
        <v>29</v>
      </c>
      <c r="AE8" s="191" t="s">
        <v>34</v>
      </c>
      <c r="AF8" s="191" t="s">
        <v>35</v>
      </c>
      <c r="AG8" s="191" t="s">
        <v>36</v>
      </c>
      <c r="AH8" s="191" t="s">
        <v>38</v>
      </c>
      <c r="AI8" s="191" t="s">
        <v>37</v>
      </c>
      <c r="AJ8" s="191"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193"/>
      <c r="B9" s="197"/>
      <c r="C9" s="191"/>
      <c r="D9" s="191"/>
      <c r="E9" s="197"/>
      <c r="F9" s="195"/>
      <c r="G9" s="191"/>
      <c r="H9" s="195"/>
      <c r="I9" s="189"/>
      <c r="J9" s="195"/>
      <c r="K9" s="195"/>
      <c r="L9" s="189"/>
      <c r="M9" s="189"/>
      <c r="N9" s="191"/>
      <c r="O9" s="199"/>
      <c r="P9" s="191"/>
      <c r="Q9" s="195"/>
      <c r="R9" s="7" t="s">
        <v>13</v>
      </c>
      <c r="S9" s="7" t="s">
        <v>17</v>
      </c>
      <c r="T9" s="7" t="s">
        <v>28</v>
      </c>
      <c r="U9" s="7" t="s">
        <v>18</v>
      </c>
      <c r="V9" s="7" t="s">
        <v>21</v>
      </c>
      <c r="W9" s="7" t="s">
        <v>24</v>
      </c>
      <c r="X9" s="203"/>
      <c r="Y9" s="203"/>
      <c r="Z9" s="203"/>
      <c r="AA9" s="203"/>
      <c r="AB9" s="203"/>
      <c r="AC9" s="203"/>
      <c r="AD9" s="199"/>
      <c r="AE9" s="191"/>
      <c r="AF9" s="191"/>
      <c r="AG9" s="191"/>
      <c r="AH9" s="191"/>
      <c r="AI9" s="191"/>
      <c r="AJ9" s="191"/>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5" customHeight="1" x14ac:dyDescent="0.25">
      <c r="A10" s="140">
        <v>1</v>
      </c>
      <c r="B10" s="137" t="s">
        <v>132</v>
      </c>
      <c r="C10" s="137"/>
      <c r="D10" s="137" t="s">
        <v>217</v>
      </c>
      <c r="E10" s="141" t="s">
        <v>216</v>
      </c>
      <c r="F10" s="137" t="s">
        <v>123</v>
      </c>
      <c r="G10" s="138" t="s">
        <v>218</v>
      </c>
      <c r="H10" s="139" t="s">
        <v>220</v>
      </c>
      <c r="I10" s="143">
        <f t="shared" ref="I10:I16" si="0">IF(H10="","",IF(H10="Muy Baja",0.2,IF(H10="Baja",0.4,IF(H10="Media",0.6,IF(H10="Alta",0.8,IF(H10="Muy Alta",1,))))))</f>
        <v>0.6</v>
      </c>
      <c r="J10" s="144"/>
      <c r="K10" s="143">
        <f>IF(NOT(ISERROR(MATCH(J10,'Tabla Impacto'!$B$221:$B$223,0))),'Tabla Impacto'!$F$223&amp;"Por favor no seleccionar los criterios de impacto(Afectación Económica o presupuestal y Pérdida Reputacional)",J10)</f>
        <v>0</v>
      </c>
      <c r="L10" s="139" t="s">
        <v>219</v>
      </c>
      <c r="M10" s="143">
        <f t="shared" ref="M10:M16" si="1">IF(L10="","",IF(L10="Leve",0.2,IF(L10="Menor",0.4,IF(L10="Moderado",0.6,IF(L10="Mayor",0.8,IF(L10="Catastrófico",1,))))))</f>
        <v>0.6</v>
      </c>
      <c r="N10" s="142" t="s">
        <v>219</v>
      </c>
      <c r="O10" s="123">
        <v>1</v>
      </c>
      <c r="P10" s="145" t="s">
        <v>221</v>
      </c>
      <c r="Q10" s="125" t="str">
        <f>IF(OR(R10="Preventivo",R10="Detectivo"),"Probabilidad",IF(R10="Correctivo","Impacto",""))</f>
        <v>Probabilidad</v>
      </c>
      <c r="R10" s="126" t="s">
        <v>15</v>
      </c>
      <c r="S10" s="126" t="s">
        <v>9</v>
      </c>
      <c r="T10" s="127" t="str">
        <f t="shared" ref="T10:T16" si="2">IF(AND(R10="Preventivo",S10="Automático"),"50%",IF(AND(R10="Preventivo",S10="Manual"),"40%",IF(AND(R10="Detectivo",S10="Automático"),"40%",IF(AND(R10="Detectivo",S10="Manual"),"30%",IF(AND(R10="Correctivo",S10="Automático"),"35%",IF(AND(R10="Correctivo",S10="Manual"),"25%",""))))))</f>
        <v>30%</v>
      </c>
      <c r="U10" s="126" t="s">
        <v>20</v>
      </c>
      <c r="V10" s="126" t="s">
        <v>22</v>
      </c>
      <c r="W10" s="126" t="s">
        <v>120</v>
      </c>
      <c r="X10" s="128">
        <f t="shared" ref="X10:X16" si="3">IFERROR(IF(Q10="Probabilidad",(I10-(+I10*T10)),IF(Q10="Impacto",I10,"")),"")</f>
        <v>0.42</v>
      </c>
      <c r="Y10" s="129" t="str">
        <f t="shared" ref="Y10:Y16" si="4">IFERROR(IF(X10="","",IF(X10&lt;=0.2,"Muy Baja",IF(X10&lt;=0.4,"Baja",IF(X10&lt;=0.6,"Media",IF(X10&lt;=0.8,"Alta","Muy Alta"))))),"")</f>
        <v>Media</v>
      </c>
      <c r="Z10" s="130">
        <f t="shared" ref="Z10:Z16" si="5">+X10</f>
        <v>0.42</v>
      </c>
      <c r="AA10" s="129" t="str">
        <f t="shared" ref="AA10:AA16" si="6">IFERROR(IF(AB10="","",IF(AB10&lt;=0.2,"Leve",IF(AB10&lt;=0.4,"Menor",IF(AB10&lt;=0.6,"Moderado",IF(AB10&lt;=0.8,"Mayor","Catastrófico"))))),"")</f>
        <v>Moderado</v>
      </c>
      <c r="AB10" s="130">
        <f t="shared" ref="AB10:AB16" si="7">IFERROR(IF(Q10="Impacto",(M10-(+M10*T10)),IF(Q10="Probabilidad",M10,"")),"")</f>
        <v>0.6</v>
      </c>
      <c r="AC10" s="131" t="str">
        <f t="shared" ref="AC10:AC16" si="8">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46" t="s">
        <v>222</v>
      </c>
      <c r="AF10" s="146" t="s">
        <v>223</v>
      </c>
      <c r="AG10" s="147" t="s">
        <v>244</v>
      </c>
      <c r="AH10" s="135"/>
      <c r="AI10" s="133"/>
      <c r="AJ10" s="134"/>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246" customHeight="1" x14ac:dyDescent="0.3">
      <c r="A11" s="140">
        <v>2</v>
      </c>
      <c r="B11" s="137" t="s">
        <v>132</v>
      </c>
      <c r="C11" s="137"/>
      <c r="D11" s="137" t="s">
        <v>226</v>
      </c>
      <c r="E11" s="141" t="s">
        <v>225</v>
      </c>
      <c r="F11" s="137" t="s">
        <v>123</v>
      </c>
      <c r="G11" s="138" t="s">
        <v>218</v>
      </c>
      <c r="H11" s="139" t="s">
        <v>224</v>
      </c>
      <c r="I11" s="143">
        <f t="shared" si="0"/>
        <v>0.8</v>
      </c>
      <c r="J11" s="144"/>
      <c r="K11" s="143">
        <f>IF(NOT(ISERROR(MATCH(J11,'Tabla Impacto'!$B$221:$B$223,0))),'Tabla Impacto'!$F$223&amp;"Por favor no seleccionar los criterios de impacto(Afectación Económica o presupuestal y Pérdida Reputacional)",J11)</f>
        <v>0</v>
      </c>
      <c r="L11" s="139" t="s">
        <v>219</v>
      </c>
      <c r="M11" s="143">
        <f t="shared" si="1"/>
        <v>0.6</v>
      </c>
      <c r="N11" s="142" t="str">
        <f t="shared" ref="N11:N16" si="9">IF(OR(AND(H11="Muy Baja",L11="Leve"),AND(H11="Muy Baja",L11="Menor"),AND(H11="Baja",L11="Leve")),"Bajo",IF(OR(AND(H11="Muy baja",L11="Moderado"),AND(H11="Baja",L11="Menor"),AND(H11="Baja",L11="Moderado"),AND(H11="Media",L11="Leve"),AND(H11="Media",L11="Menor"),AND(H11="Media",L11="Moderado"),AND(H11="Alta",L11="Leve"),AND(H11="Alta",L11="Menor")),"Moderado",IF(OR(AND(H11="Muy Baja",L11="Mayor"),AND(H11="Baja",L11="Mayor"),AND(H11="Media",L11="Mayor"),AND(H11="Alta",L11="Moderado"),AND(H11="Alta",L11="Mayor"),AND(H11="Muy Alta",L11="Leve"),AND(H11="Muy Alta",L11="Menor"),AND(H11="Muy Alta",L11="Moderado"),AND(H11="Muy Alta",L11="Mayor")),"Alto",IF(OR(AND(H11="Muy Baja",L11="Catastrófico"),AND(H11="Baja",L11="Catastrófico"),AND(H11="Media",L11="Catastrófico"),AND(H11="Alta",L11="Catastrófico"),AND(H11="Muy Alta",L11="Catastrófico")),"Extremo",""))))</f>
        <v>Alto</v>
      </c>
      <c r="O11" s="123">
        <v>1</v>
      </c>
      <c r="P11" s="145" t="s">
        <v>227</v>
      </c>
      <c r="Q11" s="125" t="str">
        <f t="shared" ref="Q11:Q18" si="10">IF(OR(R11="Preventivo",R11="Detectivo"),"Probabilidad",IF(R11="Correctivo","Impacto",""))</f>
        <v>Probabilidad</v>
      </c>
      <c r="R11" s="126" t="s">
        <v>14</v>
      </c>
      <c r="S11" s="126" t="s">
        <v>9</v>
      </c>
      <c r="T11" s="127" t="str">
        <f t="shared" si="2"/>
        <v>40%</v>
      </c>
      <c r="U11" s="126" t="s">
        <v>20</v>
      </c>
      <c r="V11" s="126" t="s">
        <v>22</v>
      </c>
      <c r="W11" s="126" t="s">
        <v>120</v>
      </c>
      <c r="X11" s="128">
        <f t="shared" si="3"/>
        <v>0.48</v>
      </c>
      <c r="Y11" s="129" t="str">
        <f t="shared" si="4"/>
        <v>Media</v>
      </c>
      <c r="Z11" s="130">
        <f t="shared" si="5"/>
        <v>0.48</v>
      </c>
      <c r="AA11" s="129" t="str">
        <f t="shared" si="6"/>
        <v>Moderado</v>
      </c>
      <c r="AB11" s="130">
        <f t="shared" si="7"/>
        <v>0.6</v>
      </c>
      <c r="AC11" s="131" t="str">
        <f t="shared" si="8"/>
        <v>Moderado</v>
      </c>
      <c r="AD11" s="132" t="s">
        <v>136</v>
      </c>
      <c r="AE11" s="146" t="s">
        <v>228</v>
      </c>
      <c r="AF11" s="146" t="s">
        <v>223</v>
      </c>
      <c r="AG11" s="147" t="s">
        <v>244</v>
      </c>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246" customHeight="1" x14ac:dyDescent="0.3">
      <c r="A12" s="140">
        <v>3</v>
      </c>
      <c r="B12" s="137" t="s">
        <v>132</v>
      </c>
      <c r="C12" s="137"/>
      <c r="D12" s="137" t="s">
        <v>230</v>
      </c>
      <c r="E12" s="141" t="s">
        <v>229</v>
      </c>
      <c r="F12" s="137" t="s">
        <v>123</v>
      </c>
      <c r="G12" s="138" t="s">
        <v>218</v>
      </c>
      <c r="H12" s="139" t="s">
        <v>224</v>
      </c>
      <c r="I12" s="143">
        <f t="shared" si="0"/>
        <v>0.8</v>
      </c>
      <c r="J12" s="144"/>
      <c r="K12" s="143">
        <f>IF(NOT(ISERROR(MATCH(J12,'Tabla Impacto'!$B$221:$B$223,0))),'Tabla Impacto'!$F$223&amp;"Por favor no seleccionar los criterios de impacto(Afectación Económica o presupuestal y Pérdida Reputacional)",J12)</f>
        <v>0</v>
      </c>
      <c r="L12" s="139" t="s">
        <v>219</v>
      </c>
      <c r="M12" s="143">
        <f t="shared" si="1"/>
        <v>0.6</v>
      </c>
      <c r="N12" s="142" t="str">
        <f t="shared" si="9"/>
        <v>Alto</v>
      </c>
      <c r="O12" s="123">
        <v>1</v>
      </c>
      <c r="P12" s="145" t="s">
        <v>231</v>
      </c>
      <c r="Q12" s="125" t="str">
        <f t="shared" si="10"/>
        <v>Probabilidad</v>
      </c>
      <c r="R12" s="126" t="s">
        <v>14</v>
      </c>
      <c r="S12" s="126" t="s">
        <v>9</v>
      </c>
      <c r="T12" s="127" t="str">
        <f t="shared" si="2"/>
        <v>40%</v>
      </c>
      <c r="U12" s="126" t="s">
        <v>20</v>
      </c>
      <c r="V12" s="126" t="s">
        <v>22</v>
      </c>
      <c r="W12" s="126" t="s">
        <v>120</v>
      </c>
      <c r="X12" s="128">
        <f t="shared" si="3"/>
        <v>0.48</v>
      </c>
      <c r="Y12" s="129" t="str">
        <f t="shared" si="4"/>
        <v>Media</v>
      </c>
      <c r="Z12" s="130">
        <f t="shared" si="5"/>
        <v>0.48</v>
      </c>
      <c r="AA12" s="129" t="str">
        <f t="shared" si="6"/>
        <v>Moderado</v>
      </c>
      <c r="AB12" s="130">
        <f t="shared" si="7"/>
        <v>0.6</v>
      </c>
      <c r="AC12" s="131" t="str">
        <f t="shared" si="8"/>
        <v>Moderado</v>
      </c>
      <c r="AD12" s="132" t="s">
        <v>136</v>
      </c>
      <c r="AE12" s="146" t="s">
        <v>232</v>
      </c>
      <c r="AF12" s="146" t="s">
        <v>223</v>
      </c>
      <c r="AG12" s="147" t="s">
        <v>244</v>
      </c>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87.5" customHeight="1" x14ac:dyDescent="0.3">
      <c r="A13" s="140">
        <v>4</v>
      </c>
      <c r="B13" s="137" t="s">
        <v>132</v>
      </c>
      <c r="C13" s="137"/>
      <c r="D13" s="137" t="s">
        <v>234</v>
      </c>
      <c r="E13" s="141" t="s">
        <v>233</v>
      </c>
      <c r="F13" s="137" t="s">
        <v>123</v>
      </c>
      <c r="G13" s="138" t="s">
        <v>218</v>
      </c>
      <c r="H13" s="139" t="s">
        <v>220</v>
      </c>
      <c r="I13" s="143">
        <f t="shared" si="0"/>
        <v>0.6</v>
      </c>
      <c r="J13" s="144"/>
      <c r="K13" s="143">
        <f>IF(NOT(ISERROR(MATCH(J13,'Tabla Impacto'!$B$221:$B$223,0))),'Tabla Impacto'!$F$223&amp;"Por favor no seleccionar los criterios de impacto(Afectación Económica o presupuestal y Pérdida Reputacional)",J13)</f>
        <v>0</v>
      </c>
      <c r="L13" s="139" t="s">
        <v>219</v>
      </c>
      <c r="M13" s="143">
        <f t="shared" si="1"/>
        <v>0.6</v>
      </c>
      <c r="N13" s="142" t="str">
        <f t="shared" si="9"/>
        <v>Moderado</v>
      </c>
      <c r="O13" s="123">
        <v>1</v>
      </c>
      <c r="P13" s="145" t="s">
        <v>235</v>
      </c>
      <c r="Q13" s="125" t="str">
        <f t="shared" si="10"/>
        <v>Probabilidad</v>
      </c>
      <c r="R13" s="126" t="s">
        <v>14</v>
      </c>
      <c r="S13" s="126" t="s">
        <v>9</v>
      </c>
      <c r="T13" s="127" t="str">
        <f t="shared" si="2"/>
        <v>40%</v>
      </c>
      <c r="U13" s="126" t="s">
        <v>20</v>
      </c>
      <c r="V13" s="126" t="s">
        <v>22</v>
      </c>
      <c r="W13" s="126" t="s">
        <v>120</v>
      </c>
      <c r="X13" s="128">
        <f t="shared" si="3"/>
        <v>0.36</v>
      </c>
      <c r="Y13" s="129" t="str">
        <f t="shared" si="4"/>
        <v>Baja</v>
      </c>
      <c r="Z13" s="130">
        <f t="shared" si="5"/>
        <v>0.36</v>
      </c>
      <c r="AA13" s="129" t="str">
        <f t="shared" si="6"/>
        <v>Moderado</v>
      </c>
      <c r="AB13" s="130">
        <f t="shared" si="7"/>
        <v>0.6</v>
      </c>
      <c r="AC13" s="131" t="str">
        <f t="shared" si="8"/>
        <v>Moderado</v>
      </c>
      <c r="AD13" s="132" t="s">
        <v>136</v>
      </c>
      <c r="AE13" s="148" t="s">
        <v>236</v>
      </c>
      <c r="AF13" s="146" t="s">
        <v>223</v>
      </c>
      <c r="AG13" s="147" t="s">
        <v>244</v>
      </c>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240" customHeight="1" x14ac:dyDescent="0.3">
      <c r="A14" s="140">
        <v>5</v>
      </c>
      <c r="B14" s="137" t="s">
        <v>132</v>
      </c>
      <c r="C14" s="137"/>
      <c r="D14" s="137" t="s">
        <v>238</v>
      </c>
      <c r="E14" s="141" t="s">
        <v>237</v>
      </c>
      <c r="F14" s="137" t="s">
        <v>123</v>
      </c>
      <c r="G14" s="138" t="s">
        <v>218</v>
      </c>
      <c r="H14" s="139" t="s">
        <v>220</v>
      </c>
      <c r="I14" s="143">
        <f t="shared" si="0"/>
        <v>0.6</v>
      </c>
      <c r="J14" s="144"/>
      <c r="K14" s="143">
        <f>IF(NOT(ISERROR(MATCH(J14,'Tabla Impacto'!$B$221:$B$223,0))),'Tabla Impacto'!$F$223&amp;"Por favor no seleccionar los criterios de impacto(Afectación Económica o presupuestal y Pérdida Reputacional)",J14)</f>
        <v>0</v>
      </c>
      <c r="L14" s="139" t="s">
        <v>219</v>
      </c>
      <c r="M14" s="143">
        <f t="shared" si="1"/>
        <v>0.6</v>
      </c>
      <c r="N14" s="142" t="str">
        <f t="shared" si="9"/>
        <v>Moderado</v>
      </c>
      <c r="O14" s="123">
        <v>1</v>
      </c>
      <c r="P14" s="145" t="s">
        <v>239</v>
      </c>
      <c r="Q14" s="125" t="str">
        <f t="shared" si="10"/>
        <v>Probabilidad</v>
      </c>
      <c r="R14" s="126" t="s">
        <v>14</v>
      </c>
      <c r="S14" s="126" t="s">
        <v>9</v>
      </c>
      <c r="T14" s="127" t="str">
        <f t="shared" si="2"/>
        <v>40%</v>
      </c>
      <c r="U14" s="126" t="s">
        <v>20</v>
      </c>
      <c r="V14" s="126" t="s">
        <v>22</v>
      </c>
      <c r="W14" s="126" t="s">
        <v>120</v>
      </c>
      <c r="X14" s="128">
        <f t="shared" si="3"/>
        <v>0.36</v>
      </c>
      <c r="Y14" s="129" t="str">
        <f t="shared" si="4"/>
        <v>Baja</v>
      </c>
      <c r="Z14" s="130">
        <f t="shared" si="5"/>
        <v>0.36</v>
      </c>
      <c r="AA14" s="129" t="str">
        <f t="shared" si="6"/>
        <v>Moderado</v>
      </c>
      <c r="AB14" s="130">
        <f t="shared" si="7"/>
        <v>0.6</v>
      </c>
      <c r="AC14" s="131" t="str">
        <f t="shared" si="8"/>
        <v>Moderado</v>
      </c>
      <c r="AD14" s="132" t="s">
        <v>136</v>
      </c>
      <c r="AE14" s="148" t="s">
        <v>240</v>
      </c>
      <c r="AF14" s="146" t="s">
        <v>223</v>
      </c>
      <c r="AG14" s="147" t="s">
        <v>244</v>
      </c>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245.25" customHeight="1" x14ac:dyDescent="0.3">
      <c r="A15" s="140">
        <v>6</v>
      </c>
      <c r="B15" s="137" t="s">
        <v>132</v>
      </c>
      <c r="C15" s="137"/>
      <c r="D15" s="137" t="s">
        <v>242</v>
      </c>
      <c r="E15" s="141" t="s">
        <v>241</v>
      </c>
      <c r="F15" s="137" t="s">
        <v>123</v>
      </c>
      <c r="G15" s="138" t="s">
        <v>218</v>
      </c>
      <c r="H15" s="139" t="s">
        <v>220</v>
      </c>
      <c r="I15" s="143">
        <f t="shared" si="0"/>
        <v>0.6</v>
      </c>
      <c r="J15" s="144"/>
      <c r="K15" s="143">
        <f>IF(NOT(ISERROR(MATCH(J15,'Tabla Impacto'!$B$221:$B$223,0))),'Tabla Impacto'!$F$223&amp;"Por favor no seleccionar los criterios de impacto(Afectación Económica o presupuestal y Pérdida Reputacional)",J15)</f>
        <v>0</v>
      </c>
      <c r="L15" s="139" t="s">
        <v>219</v>
      </c>
      <c r="M15" s="143">
        <f t="shared" si="1"/>
        <v>0.6</v>
      </c>
      <c r="N15" s="142" t="str">
        <f t="shared" si="9"/>
        <v>Moderado</v>
      </c>
      <c r="O15" s="123">
        <v>1</v>
      </c>
      <c r="P15" s="145" t="s">
        <v>235</v>
      </c>
      <c r="Q15" s="125" t="str">
        <f t="shared" si="10"/>
        <v>Probabilidad</v>
      </c>
      <c r="R15" s="126" t="s">
        <v>14</v>
      </c>
      <c r="S15" s="126" t="s">
        <v>9</v>
      </c>
      <c r="T15" s="127" t="str">
        <f t="shared" si="2"/>
        <v>40%</v>
      </c>
      <c r="U15" s="126" t="s">
        <v>20</v>
      </c>
      <c r="V15" s="126" t="s">
        <v>22</v>
      </c>
      <c r="W15" s="126" t="s">
        <v>120</v>
      </c>
      <c r="X15" s="128">
        <f t="shared" si="3"/>
        <v>0.36</v>
      </c>
      <c r="Y15" s="129" t="str">
        <f t="shared" si="4"/>
        <v>Baja</v>
      </c>
      <c r="Z15" s="130">
        <f t="shared" si="5"/>
        <v>0.36</v>
      </c>
      <c r="AA15" s="129" t="str">
        <f t="shared" si="6"/>
        <v>Moderado</v>
      </c>
      <c r="AB15" s="130">
        <f t="shared" si="7"/>
        <v>0.6</v>
      </c>
      <c r="AC15" s="131" t="str">
        <f t="shared" si="8"/>
        <v>Moderado</v>
      </c>
      <c r="AD15" s="132" t="s">
        <v>136</v>
      </c>
      <c r="AE15" s="146" t="s">
        <v>243</v>
      </c>
      <c r="AF15" s="146" t="s">
        <v>223</v>
      </c>
      <c r="AG15" s="147" t="s">
        <v>244</v>
      </c>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35.25" customHeight="1" x14ac:dyDescent="0.3">
      <c r="A16" s="205">
        <v>8</v>
      </c>
      <c r="B16" s="208"/>
      <c r="C16" s="208"/>
      <c r="D16" s="208"/>
      <c r="E16" s="211"/>
      <c r="F16" s="208"/>
      <c r="G16" s="214"/>
      <c r="H16" s="217" t="str">
        <f>IF(G16&lt;=0,"",IF(G16&lt;=2,"Muy Baja",IF(G16&lt;=24,"Baja",IF(G16&lt;=500,"Media",IF(G16&lt;=5000,"Alta","Muy Alta")))))</f>
        <v/>
      </c>
      <c r="I16" s="220" t="str">
        <f t="shared" si="0"/>
        <v/>
      </c>
      <c r="J16" s="223"/>
      <c r="K16" s="220">
        <f>IF(NOT(ISERROR(MATCH(J16,'Tabla Impacto'!$B$221:$B$223,0))),'Tabla Impacto'!$F$223&amp;"Por favor no seleccionar los criterios de impacto(Afectación Económica o presupuestal y Pérdida Reputacional)",J16)</f>
        <v>0</v>
      </c>
      <c r="L16" s="217" t="str">
        <f>IF(OR(K16='Tabla Impacto'!$C$11,K16='Tabla Impacto'!$D$11),"Leve",IF(OR(K16='Tabla Impacto'!$C$12,K16='Tabla Impacto'!$D$12),"Menor",IF(OR(K16='Tabla Impacto'!$C$13,K16='Tabla Impacto'!$D$13),"Moderado",IF(OR(K16='Tabla Impacto'!$C$14,K16='Tabla Impacto'!$D$14),"Mayor",IF(OR(K16='Tabla Impacto'!$C$15,K16='Tabla Impacto'!$D$15),"Catastrófico","")))))</f>
        <v/>
      </c>
      <c r="M16" s="220" t="str">
        <f t="shared" si="1"/>
        <v/>
      </c>
      <c r="N16" s="226" t="str">
        <f t="shared" si="9"/>
        <v/>
      </c>
      <c r="O16" s="123">
        <v>1</v>
      </c>
      <c r="P16" s="124"/>
      <c r="Q16" s="125" t="str">
        <f t="shared" si="10"/>
        <v/>
      </c>
      <c r="R16" s="126"/>
      <c r="S16" s="126"/>
      <c r="T16" s="127" t="str">
        <f t="shared" si="2"/>
        <v/>
      </c>
      <c r="U16" s="126"/>
      <c r="V16" s="126"/>
      <c r="W16" s="126"/>
      <c r="X16" s="128" t="str">
        <f t="shared" si="3"/>
        <v/>
      </c>
      <c r="Y16" s="129" t="str">
        <f t="shared" si="4"/>
        <v/>
      </c>
      <c r="Z16" s="130" t="str">
        <f t="shared" si="5"/>
        <v/>
      </c>
      <c r="AA16" s="129" t="str">
        <f t="shared" si="6"/>
        <v/>
      </c>
      <c r="AB16" s="130" t="str">
        <f t="shared" si="7"/>
        <v/>
      </c>
      <c r="AC16" s="131" t="str">
        <f t="shared" si="8"/>
        <v/>
      </c>
      <c r="AD16" s="132"/>
      <c r="AE16" s="133"/>
      <c r="AF16" s="134"/>
      <c r="AG16" s="135"/>
      <c r="AH16" s="135"/>
      <c r="AI16" s="133"/>
      <c r="AJ16" s="134"/>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35.25" customHeight="1" x14ac:dyDescent="0.3">
      <c r="A17" s="206"/>
      <c r="B17" s="209"/>
      <c r="C17" s="209"/>
      <c r="D17" s="209"/>
      <c r="E17" s="212"/>
      <c r="F17" s="209"/>
      <c r="G17" s="215"/>
      <c r="H17" s="218"/>
      <c r="I17" s="221"/>
      <c r="J17" s="224"/>
      <c r="K17" s="221">
        <f>IF(NOT(ISERROR(MATCH(J17,_xlfn.ANCHORARRAY(E28),0))),I30&amp;"Por favor no seleccionar los criterios de impacto",J17)</f>
        <v>0</v>
      </c>
      <c r="L17" s="218"/>
      <c r="M17" s="221"/>
      <c r="N17" s="227"/>
      <c r="O17" s="123">
        <v>2</v>
      </c>
      <c r="P17" s="124"/>
      <c r="Q17" s="125" t="str">
        <f t="shared" si="10"/>
        <v/>
      </c>
      <c r="R17" s="126"/>
      <c r="S17" s="126"/>
      <c r="T17" s="127" t="str">
        <f t="shared" ref="T17:T21" si="11">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ref="Y17:Y33" si="12">IFERROR(IF(X17="","",IF(X17&lt;=0.2,"Muy Baja",IF(X17&lt;=0.4,"Baja",IF(X17&lt;=0.6,"Media",IF(X17&lt;=0.8,"Alta","Muy Alta"))))),"")</f>
        <v/>
      </c>
      <c r="Z17" s="130" t="str">
        <f t="shared" ref="Z17:Z21" si="13">+X17</f>
        <v/>
      </c>
      <c r="AA17" s="129" t="str">
        <f t="shared" ref="AA17:AA33" si="14">IFERROR(IF(AB17="","",IF(AB17&lt;=0.2,"Leve",IF(AB17&lt;=0.4,"Menor",IF(AB17&lt;=0.6,"Moderado",IF(AB17&lt;=0.8,"Mayor","Catastrófico"))))),"")</f>
        <v/>
      </c>
      <c r="AB17" s="130" t="str">
        <f>IFERROR(IF(AND(Q16="Impacto",Q17="Impacto"),(AB16-(+AB16*T17)),IF(Q17="Impacto",(M16-(+M16*T17)),IF(Q17="Probabilidad",AB16,""))),"")</f>
        <v/>
      </c>
      <c r="AC17" s="131" t="str">
        <f t="shared" ref="AC17:AC18" si="15">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35.25" customHeight="1" x14ac:dyDescent="0.3">
      <c r="A18" s="206"/>
      <c r="B18" s="209"/>
      <c r="C18" s="209"/>
      <c r="D18" s="209"/>
      <c r="E18" s="212"/>
      <c r="F18" s="209"/>
      <c r="G18" s="215"/>
      <c r="H18" s="218"/>
      <c r="I18" s="221"/>
      <c r="J18" s="224"/>
      <c r="K18" s="221">
        <f>IF(NOT(ISERROR(MATCH(J18,_xlfn.ANCHORARRAY(E29),0))),I31&amp;"Por favor no seleccionar los criterios de impacto",J18)</f>
        <v>0</v>
      </c>
      <c r="L18" s="218"/>
      <c r="M18" s="221"/>
      <c r="N18" s="227"/>
      <c r="O18" s="123">
        <v>3</v>
      </c>
      <c r="P18" s="136"/>
      <c r="Q18" s="125" t="str">
        <f t="shared" si="10"/>
        <v/>
      </c>
      <c r="R18" s="126"/>
      <c r="S18" s="126"/>
      <c r="T18" s="127" t="str">
        <f t="shared" si="11"/>
        <v/>
      </c>
      <c r="U18" s="126"/>
      <c r="V18" s="126"/>
      <c r="W18" s="126"/>
      <c r="X18" s="128" t="str">
        <f>IFERROR(IF(AND(Q17="Probabilidad",Q18="Probabilidad"),(Z17-(+Z17*T18)),IF(AND(Q17="Impacto",Q18="Probabilidad"),(Z16-(+Z16*T18)),IF(Q18="Impacto",Z17,""))),"")</f>
        <v/>
      </c>
      <c r="Y18" s="129" t="str">
        <f t="shared" si="12"/>
        <v/>
      </c>
      <c r="Z18" s="130" t="str">
        <f t="shared" si="13"/>
        <v/>
      </c>
      <c r="AA18" s="129" t="str">
        <f t="shared" si="14"/>
        <v/>
      </c>
      <c r="AB18" s="130" t="str">
        <f>IFERROR(IF(AND(Q17="Impacto",Q18="Impacto"),(AB17-(+AB17*T18)),IF(AND(Q17="Probabilidad",Q18="Impacto"),(AB16-(+AB16*T18)),IF(Q18="Probabilidad",AB17,""))),"")</f>
        <v/>
      </c>
      <c r="AC18" s="131" t="str">
        <f t="shared" si="15"/>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35.25" customHeight="1" x14ac:dyDescent="0.3">
      <c r="A19" s="206"/>
      <c r="B19" s="209"/>
      <c r="C19" s="209"/>
      <c r="D19" s="209"/>
      <c r="E19" s="212"/>
      <c r="F19" s="209"/>
      <c r="G19" s="215"/>
      <c r="H19" s="218"/>
      <c r="I19" s="221"/>
      <c r="J19" s="224"/>
      <c r="K19" s="221">
        <f>IF(NOT(ISERROR(MATCH(J19,_xlfn.ANCHORARRAY(E30),0))),I32&amp;"Por favor no seleccionar los criterios de impacto",J19)</f>
        <v>0</v>
      </c>
      <c r="L19" s="218"/>
      <c r="M19" s="221"/>
      <c r="N19" s="227"/>
      <c r="O19" s="123">
        <v>4</v>
      </c>
      <c r="P19" s="124"/>
      <c r="Q19" s="125" t="str">
        <f t="shared" ref="Q19:Q21" si="16">IF(OR(R19="Preventivo",R19="Detectivo"),"Probabilidad",IF(R19="Correctivo","Impacto",""))</f>
        <v/>
      </c>
      <c r="R19" s="126"/>
      <c r="S19" s="126"/>
      <c r="T19" s="127" t="str">
        <f t="shared" si="11"/>
        <v/>
      </c>
      <c r="U19" s="126"/>
      <c r="V19" s="126"/>
      <c r="W19" s="126"/>
      <c r="X19" s="128" t="str">
        <f t="shared" ref="X19:X21" si="17">IFERROR(IF(AND(Q18="Probabilidad",Q19="Probabilidad"),(Z18-(+Z18*T19)),IF(AND(Q18="Impacto",Q19="Probabilidad"),(Z17-(+Z17*T19)),IF(Q19="Impacto",Z18,""))),"")</f>
        <v/>
      </c>
      <c r="Y19" s="129" t="str">
        <f t="shared" si="12"/>
        <v/>
      </c>
      <c r="Z19" s="130" t="str">
        <f t="shared" si="13"/>
        <v/>
      </c>
      <c r="AA19" s="129" t="str">
        <f t="shared" si="14"/>
        <v/>
      </c>
      <c r="AB19" s="130" t="str">
        <f t="shared" ref="AB19:AB21" si="18">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35.25" customHeight="1" x14ac:dyDescent="0.3">
      <c r="A20" s="206"/>
      <c r="B20" s="209"/>
      <c r="C20" s="209"/>
      <c r="D20" s="209"/>
      <c r="E20" s="212"/>
      <c r="F20" s="209"/>
      <c r="G20" s="215"/>
      <c r="H20" s="218"/>
      <c r="I20" s="221"/>
      <c r="J20" s="224"/>
      <c r="K20" s="221">
        <f>IF(NOT(ISERROR(MATCH(J20,_xlfn.ANCHORARRAY(E31),0))),I33&amp;"Por favor no seleccionar los criterios de impacto",J20)</f>
        <v>0</v>
      </c>
      <c r="L20" s="218"/>
      <c r="M20" s="221"/>
      <c r="N20" s="227"/>
      <c r="O20" s="123">
        <v>5</v>
      </c>
      <c r="P20" s="124"/>
      <c r="Q20" s="125" t="str">
        <f t="shared" si="16"/>
        <v/>
      </c>
      <c r="R20" s="126"/>
      <c r="S20" s="126"/>
      <c r="T20" s="127" t="str">
        <f t="shared" si="11"/>
        <v/>
      </c>
      <c r="U20" s="126"/>
      <c r="V20" s="126"/>
      <c r="W20" s="126"/>
      <c r="X20" s="128" t="str">
        <f t="shared" si="17"/>
        <v/>
      </c>
      <c r="Y20" s="129" t="str">
        <f t="shared" si="12"/>
        <v/>
      </c>
      <c r="Z20" s="130" t="str">
        <f t="shared" si="13"/>
        <v/>
      </c>
      <c r="AA20" s="129" t="str">
        <f t="shared" si="14"/>
        <v/>
      </c>
      <c r="AB20" s="130" t="str">
        <f t="shared" si="18"/>
        <v/>
      </c>
      <c r="AC20" s="131" t="str">
        <f t="shared" ref="AC20:AC21" si="19">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35.25" customHeight="1" x14ac:dyDescent="0.3">
      <c r="A21" s="207"/>
      <c r="B21" s="210"/>
      <c r="C21" s="210"/>
      <c r="D21" s="210"/>
      <c r="E21" s="213"/>
      <c r="F21" s="210"/>
      <c r="G21" s="216"/>
      <c r="H21" s="219"/>
      <c r="I21" s="222"/>
      <c r="J21" s="225"/>
      <c r="K21" s="222">
        <f>IF(NOT(ISERROR(MATCH(J21,_xlfn.ANCHORARRAY(E32),0))),I34&amp;"Por favor no seleccionar los criterios de impacto",J21)</f>
        <v>0</v>
      </c>
      <c r="L21" s="219"/>
      <c r="M21" s="222"/>
      <c r="N21" s="228"/>
      <c r="O21" s="123">
        <v>6</v>
      </c>
      <c r="P21" s="124"/>
      <c r="Q21" s="125" t="str">
        <f t="shared" si="16"/>
        <v/>
      </c>
      <c r="R21" s="126"/>
      <c r="S21" s="126"/>
      <c r="T21" s="127" t="str">
        <f t="shared" si="11"/>
        <v/>
      </c>
      <c r="U21" s="126"/>
      <c r="V21" s="126"/>
      <c r="W21" s="126"/>
      <c r="X21" s="128" t="str">
        <f t="shared" si="17"/>
        <v/>
      </c>
      <c r="Y21" s="129" t="str">
        <f t="shared" si="12"/>
        <v/>
      </c>
      <c r="Z21" s="130" t="str">
        <f t="shared" si="13"/>
        <v/>
      </c>
      <c r="AA21" s="129" t="str">
        <f t="shared" si="14"/>
        <v/>
      </c>
      <c r="AB21" s="130" t="str">
        <f t="shared" si="18"/>
        <v/>
      </c>
      <c r="AC21" s="131" t="str">
        <f t="shared" si="19"/>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35.25" customHeight="1" x14ac:dyDescent="0.3">
      <c r="A22" s="205">
        <v>9</v>
      </c>
      <c r="B22" s="208"/>
      <c r="C22" s="208"/>
      <c r="D22" s="208"/>
      <c r="E22" s="211"/>
      <c r="F22" s="208"/>
      <c r="G22" s="214"/>
      <c r="H22" s="217" t="str">
        <f>IF(G22&lt;=0,"",IF(G22&lt;=2,"Muy Baja",IF(G22&lt;=24,"Baja",IF(G22&lt;=500,"Media",IF(G22&lt;=5000,"Alta","Muy Alta")))))</f>
        <v/>
      </c>
      <c r="I22" s="220" t="str">
        <f>IF(H22="","",IF(H22="Muy Baja",0.2,IF(H22="Baja",0.4,IF(H22="Media",0.6,IF(H22="Alta",0.8,IF(H22="Muy Alta",1,))))))</f>
        <v/>
      </c>
      <c r="J22" s="223"/>
      <c r="K22" s="220">
        <f>IF(NOT(ISERROR(MATCH(J22,'Tabla Impacto'!$B$221:$B$223,0))),'Tabla Impacto'!$F$223&amp;"Por favor no seleccionar los criterios de impacto(Afectación Económica o presupuestal y Pérdida Reputacional)",J22)</f>
        <v>0</v>
      </c>
      <c r="L22" s="217" t="str">
        <f>IF(OR(K22='Tabla Impacto'!$C$11,K22='Tabla Impacto'!$D$11),"Leve",IF(OR(K22='Tabla Impacto'!$C$12,K22='Tabla Impacto'!$D$12),"Menor",IF(OR(K22='Tabla Impacto'!$C$13,K22='Tabla Impacto'!$D$13),"Moderado",IF(OR(K22='Tabla Impacto'!$C$14,K22='Tabla Impacto'!$D$14),"Mayor",IF(OR(K22='Tabla Impacto'!$C$15,K22='Tabla Impacto'!$D$15),"Catastrófico","")))))</f>
        <v/>
      </c>
      <c r="M22" s="220" t="str">
        <f>IF(L22="","",IF(L22="Leve",0.2,IF(L22="Menor",0.4,IF(L22="Moderado",0.6,IF(L22="Mayor",0.8,IF(L22="Catastrófico",1,))))))</f>
        <v/>
      </c>
      <c r="N22" s="226" t="str">
        <f>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35.25" customHeight="1" x14ac:dyDescent="0.3">
      <c r="A23" s="206"/>
      <c r="B23" s="209"/>
      <c r="C23" s="209"/>
      <c r="D23" s="209"/>
      <c r="E23" s="212"/>
      <c r="F23" s="209"/>
      <c r="G23" s="215"/>
      <c r="H23" s="218"/>
      <c r="I23" s="221"/>
      <c r="J23" s="224"/>
      <c r="K23" s="221">
        <f>IF(NOT(ISERROR(MATCH(J23,_xlfn.ANCHORARRAY(E34),0))),I36&amp;"Por favor no seleccionar los criterios de impacto",J23)</f>
        <v>0</v>
      </c>
      <c r="L23" s="218"/>
      <c r="M23" s="221"/>
      <c r="N23" s="227"/>
      <c r="O23" s="123">
        <v>2</v>
      </c>
      <c r="P23" s="124"/>
      <c r="Q23" s="125" t="str">
        <f>IF(OR(R23="Preventivo",R23="Detectivo"),"Probabilidad",IF(R23="Correctivo","Impacto",""))</f>
        <v/>
      </c>
      <c r="R23" s="126"/>
      <c r="S23" s="126"/>
      <c r="T23" s="127" t="str">
        <f t="shared" ref="T23:T27" si="20">IF(AND(R23="Preventivo",S23="Automático"),"50%",IF(AND(R23="Preventivo",S23="Manual"),"40%",IF(AND(R23="Detectivo",S23="Automático"),"40%",IF(AND(R23="Detectivo",S23="Manual"),"30%",IF(AND(R23="Correctivo",S23="Automático"),"35%",IF(AND(R23="Correctivo",S23="Manual"),"25%",""))))))</f>
        <v/>
      </c>
      <c r="U23" s="126"/>
      <c r="V23" s="126"/>
      <c r="W23" s="126"/>
      <c r="X23" s="128" t="str">
        <f>IFERROR(IF(AND(Q22="Probabilidad",Q23="Probabilidad"),(Z22-(+Z22*T23)),IF(Q23="Probabilidad",(I22-(+I22*T23)),IF(Q23="Impacto",Z22,""))),"")</f>
        <v/>
      </c>
      <c r="Y23" s="129" t="str">
        <f t="shared" si="12"/>
        <v/>
      </c>
      <c r="Z23" s="130" t="str">
        <f t="shared" ref="Z23:Z27" si="21">+X23</f>
        <v/>
      </c>
      <c r="AA23" s="129" t="str">
        <f t="shared" si="14"/>
        <v/>
      </c>
      <c r="AB23" s="130" t="str">
        <f>IFERROR(IF(AND(Q22="Impacto",Q23="Impacto"),(AB22-(+AB22*T23)),IF(Q23="Impacto",(M22-(+M22*T23)),IF(Q23="Probabilidad",AB22,""))),"")</f>
        <v/>
      </c>
      <c r="AC23" s="131" t="str">
        <f t="shared" ref="AC23:AC24" si="22">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35.25" customHeight="1" x14ac:dyDescent="0.3">
      <c r="A24" s="206"/>
      <c r="B24" s="209"/>
      <c r="C24" s="209"/>
      <c r="D24" s="209"/>
      <c r="E24" s="212"/>
      <c r="F24" s="209"/>
      <c r="G24" s="215"/>
      <c r="H24" s="218"/>
      <c r="I24" s="221"/>
      <c r="J24" s="224"/>
      <c r="K24" s="221">
        <f>IF(NOT(ISERROR(MATCH(J24,_xlfn.ANCHORARRAY(E35),0))),I37&amp;"Por favor no seleccionar los criterios de impacto",J24)</f>
        <v>0</v>
      </c>
      <c r="L24" s="218"/>
      <c r="M24" s="221"/>
      <c r="N24" s="227"/>
      <c r="O24" s="123">
        <v>3</v>
      </c>
      <c r="P24" s="136"/>
      <c r="Q24" s="125" t="str">
        <f>IF(OR(R24="Preventivo",R24="Detectivo"),"Probabilidad",IF(R24="Correctivo","Impacto",""))</f>
        <v/>
      </c>
      <c r="R24" s="126"/>
      <c r="S24" s="126"/>
      <c r="T24" s="127" t="str">
        <f t="shared" si="20"/>
        <v/>
      </c>
      <c r="U24" s="126"/>
      <c r="V24" s="126"/>
      <c r="W24" s="126"/>
      <c r="X24" s="128" t="str">
        <f>IFERROR(IF(AND(Q23="Probabilidad",Q24="Probabilidad"),(Z23-(+Z23*T24)),IF(AND(Q23="Impacto",Q24="Probabilidad"),(Z22-(+Z22*T24)),IF(Q24="Impacto",Z23,""))),"")</f>
        <v/>
      </c>
      <c r="Y24" s="129" t="str">
        <f t="shared" si="12"/>
        <v/>
      </c>
      <c r="Z24" s="130" t="str">
        <f t="shared" si="21"/>
        <v/>
      </c>
      <c r="AA24" s="129" t="str">
        <f t="shared" si="14"/>
        <v/>
      </c>
      <c r="AB24" s="130" t="str">
        <f>IFERROR(IF(AND(Q23="Impacto",Q24="Impacto"),(AB23-(+AB23*T24)),IF(AND(Q23="Probabilidad",Q24="Impacto"),(AB22-(+AB22*T24)),IF(Q24="Probabilidad",AB23,""))),"")</f>
        <v/>
      </c>
      <c r="AC24" s="131" t="str">
        <f t="shared" si="22"/>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35.25" customHeight="1" x14ac:dyDescent="0.3">
      <c r="A25" s="206"/>
      <c r="B25" s="209"/>
      <c r="C25" s="209"/>
      <c r="D25" s="209"/>
      <c r="E25" s="212"/>
      <c r="F25" s="209"/>
      <c r="G25" s="215"/>
      <c r="H25" s="218"/>
      <c r="I25" s="221"/>
      <c r="J25" s="224"/>
      <c r="K25" s="221">
        <f>IF(NOT(ISERROR(MATCH(J25,_xlfn.ANCHORARRAY(E36),0))),I38&amp;"Por favor no seleccionar los criterios de impacto",J25)</f>
        <v>0</v>
      </c>
      <c r="L25" s="218"/>
      <c r="M25" s="221"/>
      <c r="N25" s="227"/>
      <c r="O25" s="123">
        <v>4</v>
      </c>
      <c r="P25" s="124"/>
      <c r="Q25" s="125" t="str">
        <f t="shared" ref="Q25:Q27" si="23">IF(OR(R25="Preventivo",R25="Detectivo"),"Probabilidad",IF(R25="Correctivo","Impacto",""))</f>
        <v/>
      </c>
      <c r="R25" s="126"/>
      <c r="S25" s="126"/>
      <c r="T25" s="127" t="str">
        <f t="shared" si="20"/>
        <v/>
      </c>
      <c r="U25" s="126"/>
      <c r="V25" s="126"/>
      <c r="W25" s="126"/>
      <c r="X25" s="128" t="str">
        <f t="shared" ref="X25:X27" si="24">IFERROR(IF(AND(Q24="Probabilidad",Q25="Probabilidad"),(Z24-(+Z24*T25)),IF(AND(Q24="Impacto",Q25="Probabilidad"),(Z23-(+Z23*T25)),IF(Q25="Impacto",Z24,""))),"")</f>
        <v/>
      </c>
      <c r="Y25" s="129" t="str">
        <f t="shared" si="12"/>
        <v/>
      </c>
      <c r="Z25" s="130" t="str">
        <f t="shared" si="21"/>
        <v/>
      </c>
      <c r="AA25" s="129" t="str">
        <f t="shared" si="14"/>
        <v/>
      </c>
      <c r="AB25" s="130" t="str">
        <f t="shared" ref="AB25:AB27" si="25">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35.25" customHeight="1" x14ac:dyDescent="0.3">
      <c r="A26" s="206"/>
      <c r="B26" s="209"/>
      <c r="C26" s="209"/>
      <c r="D26" s="209"/>
      <c r="E26" s="212"/>
      <c r="F26" s="209"/>
      <c r="G26" s="215"/>
      <c r="H26" s="218"/>
      <c r="I26" s="221"/>
      <c r="J26" s="224"/>
      <c r="K26" s="221">
        <f>IF(NOT(ISERROR(MATCH(J26,_xlfn.ANCHORARRAY(E37),0))),I39&amp;"Por favor no seleccionar los criterios de impacto",J26)</f>
        <v>0</v>
      </c>
      <c r="L26" s="218"/>
      <c r="M26" s="221"/>
      <c r="N26" s="227"/>
      <c r="O26" s="123">
        <v>5</v>
      </c>
      <c r="P26" s="124"/>
      <c r="Q26" s="125" t="str">
        <f t="shared" si="23"/>
        <v/>
      </c>
      <c r="R26" s="126"/>
      <c r="S26" s="126"/>
      <c r="T26" s="127" t="str">
        <f t="shared" si="20"/>
        <v/>
      </c>
      <c r="U26" s="126"/>
      <c r="V26" s="126"/>
      <c r="W26" s="126"/>
      <c r="X26" s="128" t="str">
        <f t="shared" si="24"/>
        <v/>
      </c>
      <c r="Y26" s="129" t="str">
        <f t="shared" si="12"/>
        <v/>
      </c>
      <c r="Z26" s="130" t="str">
        <f t="shared" si="21"/>
        <v/>
      </c>
      <c r="AA26" s="129" t="str">
        <f t="shared" si="14"/>
        <v/>
      </c>
      <c r="AB26" s="130" t="str">
        <f t="shared" si="25"/>
        <v/>
      </c>
      <c r="AC26" s="131" t="str">
        <f t="shared" ref="AC26:AC27" si="26">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35.25" customHeight="1" x14ac:dyDescent="0.3">
      <c r="A27" s="207"/>
      <c r="B27" s="210"/>
      <c r="C27" s="210"/>
      <c r="D27" s="210"/>
      <c r="E27" s="213"/>
      <c r="F27" s="210"/>
      <c r="G27" s="216"/>
      <c r="H27" s="219"/>
      <c r="I27" s="222"/>
      <c r="J27" s="225"/>
      <c r="K27" s="222">
        <f>IF(NOT(ISERROR(MATCH(J27,_xlfn.ANCHORARRAY(E38),0))),I40&amp;"Por favor no seleccionar los criterios de impacto",J27)</f>
        <v>0</v>
      </c>
      <c r="L27" s="219"/>
      <c r="M27" s="222"/>
      <c r="N27" s="228"/>
      <c r="O27" s="123">
        <v>6</v>
      </c>
      <c r="P27" s="124"/>
      <c r="Q27" s="125" t="str">
        <f t="shared" si="23"/>
        <v/>
      </c>
      <c r="R27" s="126"/>
      <c r="S27" s="126"/>
      <c r="T27" s="127" t="str">
        <f t="shared" si="20"/>
        <v/>
      </c>
      <c r="U27" s="126"/>
      <c r="V27" s="126"/>
      <c r="W27" s="126"/>
      <c r="X27" s="128" t="str">
        <f t="shared" si="24"/>
        <v/>
      </c>
      <c r="Y27" s="129" t="str">
        <f t="shared" si="12"/>
        <v/>
      </c>
      <c r="Z27" s="130" t="str">
        <f t="shared" si="21"/>
        <v/>
      </c>
      <c r="AA27" s="129" t="str">
        <f t="shared" si="14"/>
        <v/>
      </c>
      <c r="AB27" s="130" t="str">
        <f t="shared" si="25"/>
        <v/>
      </c>
      <c r="AC27" s="131" t="str">
        <f t="shared" si="26"/>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35.25" customHeight="1" x14ac:dyDescent="0.3">
      <c r="A28" s="205">
        <v>10</v>
      </c>
      <c r="B28" s="208"/>
      <c r="C28" s="208"/>
      <c r="D28" s="208"/>
      <c r="E28" s="211"/>
      <c r="F28" s="208"/>
      <c r="G28" s="214"/>
      <c r="H28" s="217" t="str">
        <f>IF(G28&lt;=0,"",IF(G28&lt;=2,"Muy Baja",IF(G28&lt;=24,"Baja",IF(G28&lt;=500,"Media",IF(G28&lt;=5000,"Alta","Muy Alta")))))</f>
        <v/>
      </c>
      <c r="I28" s="220" t="str">
        <f>IF(H28="","",IF(H28="Muy Baja",0.2,IF(H28="Baja",0.4,IF(H28="Media",0.6,IF(H28="Alta",0.8,IF(H28="Muy Alta",1,))))))</f>
        <v/>
      </c>
      <c r="J28" s="223"/>
      <c r="K28" s="220">
        <f>IF(NOT(ISERROR(MATCH(J28,'Tabla Impacto'!$B$221:$B$223,0))),'Tabla Impacto'!$F$223&amp;"Por favor no seleccionar los criterios de impacto(Afectación Económica o presupuestal y Pérdida Reputacional)",J28)</f>
        <v>0</v>
      </c>
      <c r="L28" s="217" t="str">
        <f>IF(OR(K28='Tabla Impacto'!$C$11,K28='Tabla Impacto'!$D$11),"Leve",IF(OR(K28='Tabla Impacto'!$C$12,K28='Tabla Impacto'!$D$12),"Menor",IF(OR(K28='Tabla Impacto'!$C$13,K28='Tabla Impacto'!$D$13),"Moderado",IF(OR(K28='Tabla Impacto'!$C$14,K28='Tabla Impacto'!$D$14),"Mayor",IF(OR(K28='Tabla Impacto'!$C$15,K28='Tabla Impacto'!$D$15),"Catastrófico","")))))</f>
        <v/>
      </c>
      <c r="M28" s="220" t="str">
        <f>IF(L28="","",IF(L28="Leve",0.2,IF(L28="Menor",0.4,IF(L28="Moderado",0.6,IF(L28="Mayor",0.8,IF(L28="Catastrófico",1,))))))</f>
        <v/>
      </c>
      <c r="N28" s="226" t="str">
        <f>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35.25" customHeight="1" x14ac:dyDescent="0.3">
      <c r="A29" s="206"/>
      <c r="B29" s="209"/>
      <c r="C29" s="209"/>
      <c r="D29" s="209"/>
      <c r="E29" s="212"/>
      <c r="F29" s="209"/>
      <c r="G29" s="215"/>
      <c r="H29" s="218"/>
      <c r="I29" s="221"/>
      <c r="J29" s="224"/>
      <c r="K29" s="221">
        <f>IF(NOT(ISERROR(MATCH(J29,_xlfn.ANCHORARRAY(E40),0))),I42&amp;"Por favor no seleccionar los criterios de impacto",J29)</f>
        <v>0</v>
      </c>
      <c r="L29" s="218"/>
      <c r="M29" s="221"/>
      <c r="N29" s="227"/>
      <c r="O29" s="123">
        <v>2</v>
      </c>
      <c r="P29" s="124"/>
      <c r="Q29" s="125" t="str">
        <f>IF(OR(R29="Preventivo",R29="Detectivo"),"Probabilidad",IF(R29="Correctivo","Impacto",""))</f>
        <v/>
      </c>
      <c r="R29" s="126"/>
      <c r="S29" s="126"/>
      <c r="T29" s="127" t="str">
        <f t="shared" ref="T29:T33" si="27">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2"/>
        <v/>
      </c>
      <c r="Z29" s="130" t="str">
        <f t="shared" ref="Z29:Z33" si="28">+X29</f>
        <v/>
      </c>
      <c r="AA29" s="129" t="str">
        <f t="shared" si="14"/>
        <v/>
      </c>
      <c r="AB29" s="130" t="str">
        <f>IFERROR(IF(AND(Q28="Impacto",Q29="Impacto"),(AB28-(+AB28*T29)),IF(Q29="Impacto",(M28-(+M28*T29)),IF(Q29="Probabilidad",AB28,""))),"")</f>
        <v/>
      </c>
      <c r="AC29" s="131" t="str">
        <f t="shared" ref="AC29:AC30" si="29">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row>
    <row r="30" spans="1:68" ht="35.25" customHeight="1" x14ac:dyDescent="0.3">
      <c r="A30" s="206"/>
      <c r="B30" s="209"/>
      <c r="C30" s="209"/>
      <c r="D30" s="209"/>
      <c r="E30" s="212"/>
      <c r="F30" s="209"/>
      <c r="G30" s="215"/>
      <c r="H30" s="218"/>
      <c r="I30" s="221"/>
      <c r="J30" s="224"/>
      <c r="K30" s="221">
        <f>IF(NOT(ISERROR(MATCH(J30,_xlfn.ANCHORARRAY(E41),0))),I43&amp;"Por favor no seleccionar los criterios de impacto",J30)</f>
        <v>0</v>
      </c>
      <c r="L30" s="218"/>
      <c r="M30" s="221"/>
      <c r="N30" s="227"/>
      <c r="O30" s="123">
        <v>3</v>
      </c>
      <c r="P30" s="136"/>
      <c r="Q30" s="125" t="str">
        <f>IF(OR(R30="Preventivo",R30="Detectivo"),"Probabilidad",IF(R30="Correctivo","Impacto",""))</f>
        <v/>
      </c>
      <c r="R30" s="126"/>
      <c r="S30" s="126"/>
      <c r="T30" s="127" t="str">
        <f t="shared" si="27"/>
        <v/>
      </c>
      <c r="U30" s="126"/>
      <c r="V30" s="126"/>
      <c r="W30" s="126"/>
      <c r="X30" s="128" t="str">
        <f>IFERROR(IF(AND(Q29="Probabilidad",Q30="Probabilidad"),(Z29-(+Z29*T30)),IF(AND(Q29="Impacto",Q30="Probabilidad"),(Z28-(+Z28*T30)),IF(Q30="Impacto",Z29,""))),"")</f>
        <v/>
      </c>
      <c r="Y30" s="129" t="str">
        <f t="shared" si="12"/>
        <v/>
      </c>
      <c r="Z30" s="130" t="str">
        <f t="shared" si="28"/>
        <v/>
      </c>
      <c r="AA30" s="129" t="str">
        <f t="shared" si="14"/>
        <v/>
      </c>
      <c r="AB30" s="130" t="str">
        <f>IFERROR(IF(AND(Q29="Impacto",Q30="Impacto"),(AB29-(+AB29*T30)),IF(AND(Q29="Probabilidad",Q30="Impacto"),(AB28-(+AB28*T30)),IF(Q30="Probabilidad",AB29,""))),"")</f>
        <v/>
      </c>
      <c r="AC30" s="131" t="str">
        <f t="shared" si="29"/>
        <v/>
      </c>
      <c r="AD30" s="132"/>
      <c r="AE30" s="133"/>
      <c r="AF30" s="134"/>
      <c r="AG30" s="135"/>
      <c r="AH30" s="135"/>
      <c r="AI30" s="133"/>
      <c r="AJ30" s="134"/>
    </row>
    <row r="31" spans="1:68" ht="35.25" customHeight="1" x14ac:dyDescent="0.3">
      <c r="A31" s="206"/>
      <c r="B31" s="209"/>
      <c r="C31" s="209"/>
      <c r="D31" s="209"/>
      <c r="E31" s="212"/>
      <c r="F31" s="209"/>
      <c r="G31" s="215"/>
      <c r="H31" s="218"/>
      <c r="I31" s="221"/>
      <c r="J31" s="224"/>
      <c r="K31" s="221">
        <f>IF(NOT(ISERROR(MATCH(J31,_xlfn.ANCHORARRAY(E42),0))),I44&amp;"Por favor no seleccionar los criterios de impacto",J31)</f>
        <v>0</v>
      </c>
      <c r="L31" s="218"/>
      <c r="M31" s="221"/>
      <c r="N31" s="227"/>
      <c r="O31" s="123">
        <v>4</v>
      </c>
      <c r="P31" s="124"/>
      <c r="Q31" s="125" t="str">
        <f t="shared" ref="Q31:Q33" si="30">IF(OR(R31="Preventivo",R31="Detectivo"),"Probabilidad",IF(R31="Correctivo","Impacto",""))</f>
        <v/>
      </c>
      <c r="R31" s="126"/>
      <c r="S31" s="126"/>
      <c r="T31" s="127" t="str">
        <f t="shared" si="27"/>
        <v/>
      </c>
      <c r="U31" s="126"/>
      <c r="V31" s="126"/>
      <c r="W31" s="126"/>
      <c r="X31" s="128" t="str">
        <f t="shared" ref="X31:X33" si="31">IFERROR(IF(AND(Q30="Probabilidad",Q31="Probabilidad"),(Z30-(+Z30*T31)),IF(AND(Q30="Impacto",Q31="Probabilidad"),(Z29-(+Z29*T31)),IF(Q31="Impacto",Z30,""))),"")</f>
        <v/>
      </c>
      <c r="Y31" s="129" t="str">
        <f t="shared" si="12"/>
        <v/>
      </c>
      <c r="Z31" s="130" t="str">
        <f t="shared" si="28"/>
        <v/>
      </c>
      <c r="AA31" s="129" t="str">
        <f t="shared" si="14"/>
        <v/>
      </c>
      <c r="AB31" s="130" t="str">
        <f t="shared" ref="AB31:AB33" si="32">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row>
    <row r="32" spans="1:68" ht="35.25" customHeight="1" x14ac:dyDescent="0.3">
      <c r="A32" s="206"/>
      <c r="B32" s="209"/>
      <c r="C32" s="209"/>
      <c r="D32" s="209"/>
      <c r="E32" s="212"/>
      <c r="F32" s="209"/>
      <c r="G32" s="215"/>
      <c r="H32" s="218"/>
      <c r="I32" s="221"/>
      <c r="J32" s="224"/>
      <c r="K32" s="221">
        <f>IF(NOT(ISERROR(MATCH(J32,_xlfn.ANCHORARRAY(E43),0))),I45&amp;"Por favor no seleccionar los criterios de impacto",J32)</f>
        <v>0</v>
      </c>
      <c r="L32" s="218"/>
      <c r="M32" s="221"/>
      <c r="N32" s="227"/>
      <c r="O32" s="123">
        <v>5</v>
      </c>
      <c r="P32" s="124"/>
      <c r="Q32" s="125" t="str">
        <f t="shared" si="30"/>
        <v/>
      </c>
      <c r="R32" s="126"/>
      <c r="S32" s="126"/>
      <c r="T32" s="127" t="str">
        <f t="shared" si="27"/>
        <v/>
      </c>
      <c r="U32" s="126"/>
      <c r="V32" s="126"/>
      <c r="W32" s="126"/>
      <c r="X32" s="128" t="str">
        <f t="shared" si="31"/>
        <v/>
      </c>
      <c r="Y32" s="129" t="str">
        <f t="shared" si="12"/>
        <v/>
      </c>
      <c r="Z32" s="130" t="str">
        <f t="shared" si="28"/>
        <v/>
      </c>
      <c r="AA32" s="129" t="str">
        <f t="shared" si="14"/>
        <v/>
      </c>
      <c r="AB32" s="130" t="str">
        <f t="shared" si="32"/>
        <v/>
      </c>
      <c r="AC32" s="131" t="str">
        <f t="shared" ref="AC32:AC33" si="33">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row>
    <row r="33" spans="1:36" ht="35.25" customHeight="1" x14ac:dyDescent="0.3">
      <c r="A33" s="207"/>
      <c r="B33" s="210"/>
      <c r="C33" s="210"/>
      <c r="D33" s="210"/>
      <c r="E33" s="213"/>
      <c r="F33" s="210"/>
      <c r="G33" s="216"/>
      <c r="H33" s="219"/>
      <c r="I33" s="222"/>
      <c r="J33" s="225"/>
      <c r="K33" s="222">
        <f>IF(NOT(ISERROR(MATCH(J33,_xlfn.ANCHORARRAY(E44),0))),I46&amp;"Por favor no seleccionar los criterios de impacto",J33)</f>
        <v>0</v>
      </c>
      <c r="L33" s="219"/>
      <c r="M33" s="222"/>
      <c r="N33" s="228"/>
      <c r="O33" s="123">
        <v>6</v>
      </c>
      <c r="P33" s="124"/>
      <c r="Q33" s="125" t="str">
        <f t="shared" si="30"/>
        <v/>
      </c>
      <c r="R33" s="126"/>
      <c r="S33" s="126"/>
      <c r="T33" s="127" t="str">
        <f t="shared" si="27"/>
        <v/>
      </c>
      <c r="U33" s="126"/>
      <c r="V33" s="126"/>
      <c r="W33" s="126"/>
      <c r="X33" s="128" t="str">
        <f t="shared" si="31"/>
        <v/>
      </c>
      <c r="Y33" s="129" t="str">
        <f t="shared" si="12"/>
        <v/>
      </c>
      <c r="Z33" s="130" t="str">
        <f t="shared" si="28"/>
        <v/>
      </c>
      <c r="AA33" s="129" t="str">
        <f t="shared" si="14"/>
        <v/>
      </c>
      <c r="AB33" s="130" t="str">
        <f t="shared" si="32"/>
        <v/>
      </c>
      <c r="AC33" s="131" t="str">
        <f t="shared" si="33"/>
        <v/>
      </c>
      <c r="AD33" s="132"/>
      <c r="AE33" s="133"/>
      <c r="AF33" s="134"/>
      <c r="AG33" s="135"/>
      <c r="AH33" s="135"/>
      <c r="AI33" s="133"/>
      <c r="AJ33" s="134"/>
    </row>
    <row r="34" spans="1:36" ht="49.5" customHeight="1" x14ac:dyDescent="0.3">
      <c r="A34" s="6"/>
      <c r="B34" s="241" t="s">
        <v>131</v>
      </c>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3"/>
    </row>
    <row r="36" spans="1:36" x14ac:dyDescent="0.3">
      <c r="A36" s="1"/>
      <c r="B36" s="24" t="s">
        <v>143</v>
      </c>
      <c r="C36" s="1"/>
      <c r="D36" s="1"/>
      <c r="F36" s="1"/>
    </row>
  </sheetData>
  <dataConsolidate/>
  <mergeCells count="87">
    <mergeCell ref="B34:AJ34"/>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O4:Q4"/>
    <mergeCell ref="A1:AJ2"/>
    <mergeCell ref="A7:G7"/>
    <mergeCell ref="H7:N7"/>
    <mergeCell ref="O7:W7"/>
    <mergeCell ref="X7:AD7"/>
    <mergeCell ref="AE7:AJ7"/>
    <mergeCell ref="A4:B4"/>
    <mergeCell ref="A5:B5"/>
    <mergeCell ref="A6:B6"/>
    <mergeCell ref="C4:N4"/>
    <mergeCell ref="C5:Q5"/>
    <mergeCell ref="J22:J27"/>
    <mergeCell ref="K22:K27"/>
    <mergeCell ref="L22:L27"/>
    <mergeCell ref="A22:A27"/>
    <mergeCell ref="B22:B27"/>
    <mergeCell ref="C22:C27"/>
    <mergeCell ref="D22:D27"/>
    <mergeCell ref="E22:E27"/>
    <mergeCell ref="F22:F27"/>
    <mergeCell ref="G22:G27"/>
    <mergeCell ref="H22:H27"/>
    <mergeCell ref="I22:I27"/>
    <mergeCell ref="K16:K21"/>
    <mergeCell ref="L16:L21"/>
    <mergeCell ref="M16:M21"/>
    <mergeCell ref="N16:N21"/>
    <mergeCell ref="N28:N33"/>
    <mergeCell ref="F16:F21"/>
    <mergeCell ref="G16:G21"/>
    <mergeCell ref="H16:H21"/>
    <mergeCell ref="I16:I21"/>
    <mergeCell ref="J16:J21"/>
    <mergeCell ref="A16:A21"/>
    <mergeCell ref="B16:B21"/>
    <mergeCell ref="C16:C21"/>
    <mergeCell ref="D16:D21"/>
    <mergeCell ref="E16:E21"/>
    <mergeCell ref="C6:N6"/>
    <mergeCell ref="O8:O9"/>
    <mergeCell ref="AC8:AC9"/>
    <mergeCell ref="AB8:AB9"/>
    <mergeCell ref="X8:X9"/>
    <mergeCell ref="P8:P9"/>
    <mergeCell ref="N8:N9"/>
    <mergeCell ref="J8:J9"/>
    <mergeCell ref="K8:K9"/>
    <mergeCell ref="Q8:Q9"/>
    <mergeCell ref="AA8:AA9"/>
    <mergeCell ref="Y8:Y9"/>
    <mergeCell ref="Z8:Z9"/>
    <mergeCell ref="G8:G9"/>
    <mergeCell ref="H8:H9"/>
    <mergeCell ref="A8:A9"/>
    <mergeCell ref="F8:F9"/>
    <mergeCell ref="E8:E9"/>
    <mergeCell ref="D8:D9"/>
    <mergeCell ref="C8:C9"/>
    <mergeCell ref="B8:B9"/>
    <mergeCell ref="AJ8:AJ9"/>
    <mergeCell ref="AI8:AI9"/>
    <mergeCell ref="AH8:AH9"/>
    <mergeCell ref="AG8:AG9"/>
    <mergeCell ref="AF8:AF9"/>
    <mergeCell ref="I8:I9"/>
    <mergeCell ref="L8:L9"/>
    <mergeCell ref="M8:M9"/>
    <mergeCell ref="R8:W8"/>
    <mergeCell ref="AE8:AE9"/>
    <mergeCell ref="AD8:AD9"/>
  </mergeCells>
  <conditionalFormatting sqref="H10:H16 Y10:Y33">
    <cfRule type="cellIs" dxfId="36" priority="1" operator="equal">
      <formula>"Muy Alta"</formula>
    </cfRule>
    <cfRule type="cellIs" dxfId="35" priority="2" operator="equal">
      <formula>"Alta"</formula>
    </cfRule>
    <cfRule type="cellIs" dxfId="34" priority="3" operator="equal">
      <formula>"Media"</formula>
    </cfRule>
    <cfRule type="cellIs" dxfId="33" priority="4" operator="equal">
      <formula>"Baja"</formula>
    </cfRule>
    <cfRule type="cellIs" dxfId="32" priority="5" operator="equal">
      <formula>"Muy Baja"</formula>
    </cfRule>
  </conditionalFormatting>
  <conditionalFormatting sqref="H22">
    <cfRule type="cellIs" dxfId="31" priority="62" operator="equal">
      <formula>"Muy Baja"</formula>
    </cfRule>
    <cfRule type="cellIs" dxfId="30" priority="61" operator="equal">
      <formula>"Baja"</formula>
    </cfRule>
    <cfRule type="cellIs" dxfId="29" priority="60" operator="equal">
      <formula>"Media"</formula>
    </cfRule>
    <cfRule type="cellIs" dxfId="28" priority="59" operator="equal">
      <formula>"Alta"</formula>
    </cfRule>
    <cfRule type="cellIs" dxfId="27" priority="58" operator="equal">
      <formula>"Muy Alta"</formula>
    </cfRule>
  </conditionalFormatting>
  <conditionalFormatting sqref="H28">
    <cfRule type="cellIs" dxfId="26" priority="30" operator="equal">
      <formula>"Muy Alta"</formula>
    </cfRule>
    <cfRule type="cellIs" dxfId="25" priority="31" operator="equal">
      <formula>"Alta"</formula>
    </cfRule>
    <cfRule type="cellIs" dxfId="24" priority="32" operator="equal">
      <formula>"Media"</formula>
    </cfRule>
    <cfRule type="cellIs" dxfId="23" priority="33" operator="equal">
      <formula>"Baja"</formula>
    </cfRule>
    <cfRule type="cellIs" dxfId="22" priority="34" operator="equal">
      <formula>"Muy Baja"</formula>
    </cfRule>
  </conditionalFormatting>
  <conditionalFormatting sqref="K10:K33">
    <cfRule type="containsText" dxfId="21" priority="6" operator="containsText" text="❌">
      <formula>NOT(ISERROR(SEARCH("❌",K10)))</formula>
    </cfRule>
  </conditionalFormatting>
  <conditionalFormatting sqref="L10:L16 AA10:AA33 L22 L28">
    <cfRule type="cellIs" dxfId="20" priority="323" operator="equal">
      <formula>"Leve"</formula>
    </cfRule>
    <cfRule type="cellIs" dxfId="19" priority="319" operator="equal">
      <formula>"Catastrófico"</formula>
    </cfRule>
    <cfRule type="cellIs" dxfId="18" priority="320" operator="equal">
      <formula>"Mayor"</formula>
    </cfRule>
    <cfRule type="cellIs" dxfId="17" priority="321" operator="equal">
      <formula>"Moderado"</formula>
    </cfRule>
    <cfRule type="cellIs" dxfId="16" priority="322" operator="equal">
      <formula>"Menor"</formula>
    </cfRule>
  </conditionalFormatting>
  <conditionalFormatting sqref="N10:N16 AC10:AC33">
    <cfRule type="cellIs" dxfId="15" priority="77" operator="equal">
      <formula>"Extremo"</formula>
    </cfRule>
    <cfRule type="cellIs" dxfId="14" priority="78" operator="equal">
      <formula>"Alto"</formula>
    </cfRule>
    <cfRule type="cellIs" dxfId="13" priority="79" operator="equal">
      <formula>"Moderado"</formula>
    </cfRule>
    <cfRule type="cellIs" dxfId="12" priority="80" operator="equal">
      <formula>"Bajo"</formula>
    </cfRule>
  </conditionalFormatting>
  <conditionalFormatting sqref="N22">
    <cfRule type="cellIs" dxfId="11" priority="51" operator="equal">
      <formula>"Moderado"</formula>
    </cfRule>
    <cfRule type="cellIs" dxfId="10" priority="52" operator="equal">
      <formula>"Bajo"</formula>
    </cfRule>
    <cfRule type="cellIs" dxfId="9" priority="49" operator="equal">
      <formula>"Extremo"</formula>
    </cfRule>
    <cfRule type="cellIs" dxfId="8" priority="50" operator="equal">
      <formula>"Alto"</formula>
    </cfRule>
  </conditionalFormatting>
  <conditionalFormatting sqref="N28">
    <cfRule type="cellIs" dxfId="7" priority="23" operator="equal">
      <formula>"Moderado"</formula>
    </cfRule>
    <cfRule type="cellIs" dxfId="6" priority="22" operator="equal">
      <formula>"Alto"</formula>
    </cfRule>
    <cfRule type="cellIs" dxfId="5" priority="21" operator="equal">
      <formula>"Extremo"</formula>
    </cfRule>
    <cfRule type="cellIs" dxfId="4" priority="24"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'Opciones Tratamiento'!$B$9:$B$10</xm:f>
          </x14:formula1>
          <xm:sqref>AJ19:AJ20 AJ22:AJ23 AJ25:AJ26 AJ28:AJ29 AJ31:AJ32 AJ10:AJ17</xm:sqref>
        </x14:dataValidation>
        <x14:dataValidation type="list" allowBlank="1" showInputMessage="1" showErrorMessage="1" xr:uid="{00000000-0002-0000-0100-000001000000}">
          <x14:formula1>
            <xm:f>'Tabla Valoración controles'!$D$4:$D$6</xm:f>
          </x14:formula1>
          <xm:sqref>R10:R33</xm:sqref>
        </x14:dataValidation>
        <x14:dataValidation type="list" allowBlank="1" showInputMessage="1" showErrorMessage="1" xr:uid="{00000000-0002-0000-0100-000002000000}">
          <x14:formula1>
            <xm:f>'Tabla Valoración controles'!$D$7:$D$8</xm:f>
          </x14:formula1>
          <xm:sqref>S10:S33</xm:sqref>
        </x14:dataValidation>
        <x14:dataValidation type="list" allowBlank="1" showInputMessage="1" showErrorMessage="1" xr:uid="{00000000-0002-0000-0100-000003000000}">
          <x14:formula1>
            <xm:f>'Tabla Valoración controles'!$D$9:$D$10</xm:f>
          </x14:formula1>
          <xm:sqref>U10:U33</xm:sqref>
        </x14:dataValidation>
        <x14:dataValidation type="list" allowBlank="1" showInputMessage="1" showErrorMessage="1" xr:uid="{00000000-0002-0000-0100-000004000000}">
          <x14:formula1>
            <xm:f>'Tabla Valoración controles'!$D$11:$D$12</xm:f>
          </x14:formula1>
          <xm:sqref>V10:V33</xm:sqref>
        </x14:dataValidation>
        <x14:dataValidation type="list" allowBlank="1" showInputMessage="1" showErrorMessage="1" xr:uid="{00000000-0002-0000-0100-000005000000}">
          <x14:formula1>
            <xm:f>'Tabla Valoración controles'!$D$13:$D$14</xm:f>
          </x14:formula1>
          <xm:sqref>W10:W33</xm:sqref>
        </x14:dataValidation>
        <x14:dataValidation type="list" allowBlank="1" showInputMessage="1" showErrorMessage="1" xr:uid="{00000000-0002-0000-0100-000006000000}">
          <x14:formula1>
            <xm:f>'Opciones Tratamiento'!$B$13:$B$19</xm:f>
          </x14:formula1>
          <xm:sqref>F10:F33</xm:sqref>
        </x14:dataValidation>
        <x14:dataValidation type="list" allowBlank="1" showInputMessage="1" showErrorMessage="1" xr:uid="{00000000-0002-0000-0100-000007000000}">
          <x14:formula1>
            <xm:f>'Opciones Tratamiento'!$E$2:$E$4</xm:f>
          </x14:formula1>
          <xm:sqref>B10:B33</xm:sqref>
        </x14:dataValidation>
        <x14:dataValidation type="list" allowBlank="1" showInputMessage="1" showErrorMessage="1" xr:uid="{00000000-0002-0000-0100-000008000000}">
          <x14:formula1>
            <xm:f>'Opciones Tratamiento'!$B$2:$B$5</xm:f>
          </x14:formula1>
          <xm:sqref>AD10:AD33</xm:sqref>
        </x14:dataValidation>
        <x14:dataValidation type="list" allowBlank="1" showInputMessage="1" showErrorMessage="1" xr:uid="{00000000-0002-0000-0100-000009000000}">
          <x14:formula1>
            <xm:f>'Tabla Impacto'!$F$210:$F$221</xm:f>
          </x14:formula1>
          <xm:sqref>J10:J33</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AE10:AE33</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AF10:AF33</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AG10:AG33</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AH10:AH33</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44" t="s">
        <v>161</v>
      </c>
      <c r="C2" s="244"/>
      <c r="D2" s="244"/>
      <c r="E2" s="244"/>
      <c r="F2" s="244"/>
      <c r="G2" s="244"/>
      <c r="H2" s="244"/>
      <c r="I2" s="244"/>
      <c r="J2" s="281" t="s">
        <v>2</v>
      </c>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44"/>
      <c r="C3" s="244"/>
      <c r="D3" s="244"/>
      <c r="E3" s="244"/>
      <c r="F3" s="244"/>
      <c r="G3" s="244"/>
      <c r="H3" s="244"/>
      <c r="I3" s="244"/>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44"/>
      <c r="C4" s="244"/>
      <c r="D4" s="244"/>
      <c r="E4" s="244"/>
      <c r="F4" s="244"/>
      <c r="G4" s="244"/>
      <c r="H4" s="244"/>
      <c r="I4" s="244"/>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92" t="s">
        <v>4</v>
      </c>
      <c r="C6" s="292"/>
      <c r="D6" s="293"/>
      <c r="E6" s="282" t="s">
        <v>116</v>
      </c>
      <c r="F6" s="283"/>
      <c r="G6" s="283"/>
      <c r="H6" s="283"/>
      <c r="I6" s="284"/>
      <c r="J6" s="278" t="str">
        <f>IF(AND('Mapa final'!$H$10="Muy Alta",'Mapa final'!$L$10="Leve"),CONCATENATE("R",'Mapa final'!$A$10),"")</f>
        <v/>
      </c>
      <c r="K6" s="279"/>
      <c r="L6" s="279" t="e">
        <f>IF(AND('Mapa final'!#REF!="Muy Alta",'Mapa final'!#REF!="Leve"),CONCATENATE("R",'Mapa final'!#REF!),"")</f>
        <v>#REF!</v>
      </c>
      <c r="M6" s="279"/>
      <c r="N6" s="279" t="str">
        <f>IF(AND('Mapa final'!$H$11="Muy Alta",'Mapa final'!$L$11="Leve"),CONCATENATE("R",'Mapa final'!$A$11),"")</f>
        <v/>
      </c>
      <c r="O6" s="280"/>
      <c r="P6" s="278" t="str">
        <f>IF(AND('Mapa final'!$H$10="Muy Alta",'Mapa final'!$L$10="Menor"),CONCATENATE("R",'Mapa final'!$A$10),"")</f>
        <v/>
      </c>
      <c r="Q6" s="279"/>
      <c r="R6" s="279" t="e">
        <f>IF(AND('Mapa final'!#REF!="Muy Alta",'Mapa final'!#REF!="Menor"),CONCATENATE("R",'Mapa final'!#REF!),"")</f>
        <v>#REF!</v>
      </c>
      <c r="S6" s="279"/>
      <c r="T6" s="279" t="str">
        <f>IF(AND('Mapa final'!$H$11="Muy Alta",'Mapa final'!$L$11="Menor"),CONCATENATE("R",'Mapa final'!$A$11),"")</f>
        <v/>
      </c>
      <c r="U6" s="280"/>
      <c r="V6" s="278" t="str">
        <f>IF(AND('Mapa final'!$H$10="Muy Alta",'Mapa final'!$L$10="Moderado"),CONCATENATE("R",'Mapa final'!$A$10),"")</f>
        <v/>
      </c>
      <c r="W6" s="279"/>
      <c r="X6" s="279" t="e">
        <f>IF(AND('Mapa final'!#REF!="Muy Alta",'Mapa final'!#REF!="Moderado"),CONCATENATE("R",'Mapa final'!#REF!),"")</f>
        <v>#REF!</v>
      </c>
      <c r="Y6" s="279"/>
      <c r="Z6" s="279" t="str">
        <f>IF(AND('Mapa final'!$H$11="Muy Alta",'Mapa final'!$L$11="Moderado"),CONCATENATE("R",'Mapa final'!$A$11),"")</f>
        <v/>
      </c>
      <c r="AA6" s="280"/>
      <c r="AB6" s="278" t="str">
        <f>IF(AND('Mapa final'!$H$10="Muy Alta",'Mapa final'!$L$10="Mayor"),CONCATENATE("R",'Mapa final'!$A$10),"")</f>
        <v/>
      </c>
      <c r="AC6" s="279"/>
      <c r="AD6" s="279" t="e">
        <f>IF(AND('Mapa final'!#REF!="Muy Alta",'Mapa final'!#REF!="Mayor"),CONCATENATE("R",'Mapa final'!#REF!),"")</f>
        <v>#REF!</v>
      </c>
      <c r="AE6" s="279"/>
      <c r="AF6" s="279" t="str">
        <f>IF(AND('Mapa final'!$H$11="Muy Alta",'Mapa final'!$L$11="Mayor"),CONCATENATE("R",'Mapa final'!$A$11),"")</f>
        <v/>
      </c>
      <c r="AG6" s="280"/>
      <c r="AH6" s="269" t="str">
        <f>IF(AND('Mapa final'!$H$10="Muy Alta",'Mapa final'!$L$10="Catastrófico"),CONCATENATE("R",'Mapa final'!$A$10),"")</f>
        <v/>
      </c>
      <c r="AI6" s="270"/>
      <c r="AJ6" s="270" t="e">
        <f>IF(AND('Mapa final'!#REF!="Muy Alta",'Mapa final'!#REF!="Catastrófico"),CONCATENATE("R",'Mapa final'!#REF!),"")</f>
        <v>#REF!</v>
      </c>
      <c r="AK6" s="270"/>
      <c r="AL6" s="270" t="str">
        <f>IF(AND('Mapa final'!$H$11="Muy Alta",'Mapa final'!$L$11="Catastrófico"),CONCATENATE("R",'Mapa final'!$A$11),"")</f>
        <v/>
      </c>
      <c r="AM6" s="271"/>
      <c r="AO6" s="294" t="s">
        <v>79</v>
      </c>
      <c r="AP6" s="295"/>
      <c r="AQ6" s="295"/>
      <c r="AR6" s="295"/>
      <c r="AS6" s="295"/>
      <c r="AT6" s="29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92"/>
      <c r="C7" s="292"/>
      <c r="D7" s="293"/>
      <c r="E7" s="285"/>
      <c r="F7" s="286"/>
      <c r="G7" s="286"/>
      <c r="H7" s="286"/>
      <c r="I7" s="287"/>
      <c r="J7" s="272"/>
      <c r="K7" s="273"/>
      <c r="L7" s="273"/>
      <c r="M7" s="273"/>
      <c r="N7" s="273"/>
      <c r="O7" s="274"/>
      <c r="P7" s="272"/>
      <c r="Q7" s="273"/>
      <c r="R7" s="273"/>
      <c r="S7" s="273"/>
      <c r="T7" s="273"/>
      <c r="U7" s="274"/>
      <c r="V7" s="272"/>
      <c r="W7" s="273"/>
      <c r="X7" s="273"/>
      <c r="Y7" s="273"/>
      <c r="Z7" s="273"/>
      <c r="AA7" s="274"/>
      <c r="AB7" s="272"/>
      <c r="AC7" s="273"/>
      <c r="AD7" s="273"/>
      <c r="AE7" s="273"/>
      <c r="AF7" s="273"/>
      <c r="AG7" s="274"/>
      <c r="AH7" s="263"/>
      <c r="AI7" s="264"/>
      <c r="AJ7" s="264"/>
      <c r="AK7" s="264"/>
      <c r="AL7" s="264"/>
      <c r="AM7" s="265"/>
      <c r="AN7" s="83"/>
      <c r="AO7" s="297"/>
      <c r="AP7" s="298"/>
      <c r="AQ7" s="298"/>
      <c r="AR7" s="298"/>
      <c r="AS7" s="298"/>
      <c r="AT7" s="29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92"/>
      <c r="C8" s="292"/>
      <c r="D8" s="293"/>
      <c r="E8" s="285"/>
      <c r="F8" s="286"/>
      <c r="G8" s="286"/>
      <c r="H8" s="286"/>
      <c r="I8" s="287"/>
      <c r="J8" s="272" t="str">
        <f>IF(AND('Mapa final'!$H$12="Muy Alta",'Mapa final'!$L$12="Leve"),CONCATENATE("R",'Mapa final'!$A$12),"")</f>
        <v/>
      </c>
      <c r="K8" s="273"/>
      <c r="L8" s="273" t="str">
        <f>IF(AND('Mapa final'!$H$13="Muy Alta",'Mapa final'!$L$13="Leve"),CONCATENATE("R",'Mapa final'!$A$13),"")</f>
        <v/>
      </c>
      <c r="M8" s="273"/>
      <c r="N8" s="273" t="str">
        <f>IF(AND('Mapa final'!$H$14="Muy Alta",'Mapa final'!$L$14="Leve"),CONCATENATE("R",'Mapa final'!$A$14),"")</f>
        <v/>
      </c>
      <c r="O8" s="274"/>
      <c r="P8" s="272" t="str">
        <f>IF(AND('Mapa final'!$H$12="Muy Alta",'Mapa final'!$L$12="Menor"),CONCATENATE("R",'Mapa final'!$A$12),"")</f>
        <v/>
      </c>
      <c r="Q8" s="273"/>
      <c r="R8" s="273" t="str">
        <f>IF(AND('Mapa final'!$H$13="Muy Alta",'Mapa final'!$L$13="Menor"),CONCATENATE("R",'Mapa final'!$A$13),"")</f>
        <v/>
      </c>
      <c r="S8" s="273"/>
      <c r="T8" s="273" t="str">
        <f>IF(AND('Mapa final'!$H$14="Muy Alta",'Mapa final'!$L$14="Menor"),CONCATENATE("R",'Mapa final'!$A$14),"")</f>
        <v/>
      </c>
      <c r="U8" s="274"/>
      <c r="V8" s="272" t="str">
        <f>IF(AND('Mapa final'!$H$12="Muy Alta",'Mapa final'!$L$12="Moderado"),CONCATENATE("R",'Mapa final'!$A$12),"")</f>
        <v/>
      </c>
      <c r="W8" s="273"/>
      <c r="X8" s="273" t="str">
        <f>IF(AND('Mapa final'!$H$13="Muy Alta",'Mapa final'!$L$13="Moderado"),CONCATENATE("R",'Mapa final'!$A$13),"")</f>
        <v/>
      </c>
      <c r="Y8" s="273"/>
      <c r="Z8" s="273" t="str">
        <f>IF(AND('Mapa final'!$H$14="Muy Alta",'Mapa final'!$L$14="Moderado"),CONCATENATE("R",'Mapa final'!$A$14),"")</f>
        <v/>
      </c>
      <c r="AA8" s="274"/>
      <c r="AB8" s="272" t="str">
        <f>IF(AND('Mapa final'!$H$12="Muy Alta",'Mapa final'!$L$12="Mayor"),CONCATENATE("R",'Mapa final'!$A$12),"")</f>
        <v/>
      </c>
      <c r="AC8" s="273"/>
      <c r="AD8" s="273" t="str">
        <f>IF(AND('Mapa final'!$H$13="Muy Alta",'Mapa final'!$L$13="Mayor"),CONCATENATE("R",'Mapa final'!$A$13),"")</f>
        <v/>
      </c>
      <c r="AE8" s="273"/>
      <c r="AF8" s="273" t="str">
        <f>IF(AND('Mapa final'!$H$14="Muy Alta",'Mapa final'!$L$14="Mayor"),CONCATENATE("R",'Mapa final'!$A$14),"")</f>
        <v/>
      </c>
      <c r="AG8" s="274"/>
      <c r="AH8" s="263" t="str">
        <f>IF(AND('Mapa final'!$H$12="Muy Alta",'Mapa final'!$L$12="Catastrófico"),CONCATENATE("R",'Mapa final'!$A$12),"")</f>
        <v/>
      </c>
      <c r="AI8" s="264"/>
      <c r="AJ8" s="264" t="str">
        <f>IF(AND('Mapa final'!$H$13="Muy Alta",'Mapa final'!$L$13="Catastrófico"),CONCATENATE("R",'Mapa final'!$A$13),"")</f>
        <v/>
      </c>
      <c r="AK8" s="264"/>
      <c r="AL8" s="264" t="str">
        <f>IF(AND('Mapa final'!$H$14="Muy Alta",'Mapa final'!$L$14="Catastrófico"),CONCATENATE("R",'Mapa final'!$A$14),"")</f>
        <v/>
      </c>
      <c r="AM8" s="265"/>
      <c r="AN8" s="83"/>
      <c r="AO8" s="297"/>
      <c r="AP8" s="298"/>
      <c r="AQ8" s="298"/>
      <c r="AR8" s="298"/>
      <c r="AS8" s="298"/>
      <c r="AT8" s="29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92"/>
      <c r="C9" s="292"/>
      <c r="D9" s="293"/>
      <c r="E9" s="285"/>
      <c r="F9" s="286"/>
      <c r="G9" s="286"/>
      <c r="H9" s="286"/>
      <c r="I9" s="287"/>
      <c r="J9" s="272"/>
      <c r="K9" s="273"/>
      <c r="L9" s="273"/>
      <c r="M9" s="273"/>
      <c r="N9" s="273"/>
      <c r="O9" s="274"/>
      <c r="P9" s="272"/>
      <c r="Q9" s="273"/>
      <c r="R9" s="273"/>
      <c r="S9" s="273"/>
      <c r="T9" s="273"/>
      <c r="U9" s="274"/>
      <c r="V9" s="272"/>
      <c r="W9" s="273"/>
      <c r="X9" s="273"/>
      <c r="Y9" s="273"/>
      <c r="Z9" s="273"/>
      <c r="AA9" s="274"/>
      <c r="AB9" s="272"/>
      <c r="AC9" s="273"/>
      <c r="AD9" s="273"/>
      <c r="AE9" s="273"/>
      <c r="AF9" s="273"/>
      <c r="AG9" s="274"/>
      <c r="AH9" s="263"/>
      <c r="AI9" s="264"/>
      <c r="AJ9" s="264"/>
      <c r="AK9" s="264"/>
      <c r="AL9" s="264"/>
      <c r="AM9" s="265"/>
      <c r="AN9" s="83"/>
      <c r="AO9" s="297"/>
      <c r="AP9" s="298"/>
      <c r="AQ9" s="298"/>
      <c r="AR9" s="298"/>
      <c r="AS9" s="298"/>
      <c r="AT9" s="29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92"/>
      <c r="C10" s="292"/>
      <c r="D10" s="293"/>
      <c r="E10" s="285"/>
      <c r="F10" s="286"/>
      <c r="G10" s="286"/>
      <c r="H10" s="286"/>
      <c r="I10" s="287"/>
      <c r="J10" s="272" t="str">
        <f>IF(AND('Mapa final'!$H$15="Muy Alta",'Mapa final'!$L$15="Leve"),CONCATENATE("R",'Mapa final'!$A$15),"")</f>
        <v/>
      </c>
      <c r="K10" s="273"/>
      <c r="L10" s="273" t="str">
        <f>IF(AND('Mapa final'!$H$16="Muy Alta",'Mapa final'!$L$16="Leve"),CONCATENATE("R",'Mapa final'!$A$16),"")</f>
        <v/>
      </c>
      <c r="M10" s="273"/>
      <c r="N10" s="273" t="str">
        <f>IF(AND('Mapa final'!$H$22="Muy Alta",'Mapa final'!$L$22="Leve"),CONCATENATE("R",'Mapa final'!$A$22),"")</f>
        <v/>
      </c>
      <c r="O10" s="274"/>
      <c r="P10" s="272" t="str">
        <f>IF(AND('Mapa final'!$H$15="Muy Alta",'Mapa final'!$L$15="Menor"),CONCATENATE("R",'Mapa final'!$A$15),"")</f>
        <v/>
      </c>
      <c r="Q10" s="273"/>
      <c r="R10" s="273" t="str">
        <f>IF(AND('Mapa final'!$H$16="Muy Alta",'Mapa final'!$L$16="Menor"),CONCATENATE("R",'Mapa final'!$A$16),"")</f>
        <v/>
      </c>
      <c r="S10" s="273"/>
      <c r="T10" s="273" t="str">
        <f>IF(AND('Mapa final'!$H$22="Muy Alta",'Mapa final'!$L$22="Menor"),CONCATENATE("R",'Mapa final'!$A$22),"")</f>
        <v/>
      </c>
      <c r="U10" s="274"/>
      <c r="V10" s="272" t="str">
        <f>IF(AND('Mapa final'!$H$15="Muy Alta",'Mapa final'!$L$15="Moderado"),CONCATENATE("R",'Mapa final'!$A$15),"")</f>
        <v/>
      </c>
      <c r="W10" s="273"/>
      <c r="X10" s="273" t="str">
        <f>IF(AND('Mapa final'!$H$16="Muy Alta",'Mapa final'!$L$16="Moderado"),CONCATENATE("R",'Mapa final'!$A$16),"")</f>
        <v/>
      </c>
      <c r="Y10" s="273"/>
      <c r="Z10" s="273" t="str">
        <f>IF(AND('Mapa final'!$H$22="Muy Alta",'Mapa final'!$L$22="Moderado"),CONCATENATE("R",'Mapa final'!$A$22),"")</f>
        <v/>
      </c>
      <c r="AA10" s="274"/>
      <c r="AB10" s="272" t="str">
        <f>IF(AND('Mapa final'!$H$15="Muy Alta",'Mapa final'!$L$15="Mayor"),CONCATENATE("R",'Mapa final'!$A$15),"")</f>
        <v/>
      </c>
      <c r="AC10" s="273"/>
      <c r="AD10" s="273" t="str">
        <f>IF(AND('Mapa final'!$H$16="Muy Alta",'Mapa final'!$L$16="Mayor"),CONCATENATE("R",'Mapa final'!$A$16),"")</f>
        <v/>
      </c>
      <c r="AE10" s="273"/>
      <c r="AF10" s="273" t="str">
        <f>IF(AND('Mapa final'!$H$22="Muy Alta",'Mapa final'!$L$22="Mayor"),CONCATENATE("R",'Mapa final'!$A$22),"")</f>
        <v/>
      </c>
      <c r="AG10" s="274"/>
      <c r="AH10" s="263" t="str">
        <f>IF(AND('Mapa final'!$H$15="Muy Alta",'Mapa final'!$L$15="Catastrófico"),CONCATENATE("R",'Mapa final'!$A$15),"")</f>
        <v/>
      </c>
      <c r="AI10" s="264"/>
      <c r="AJ10" s="264" t="str">
        <f>IF(AND('Mapa final'!$H$16="Muy Alta",'Mapa final'!$L$16="Catastrófico"),CONCATENATE("R",'Mapa final'!$A$16),"")</f>
        <v/>
      </c>
      <c r="AK10" s="264"/>
      <c r="AL10" s="264" t="str">
        <f>IF(AND('Mapa final'!$H$22="Muy Alta",'Mapa final'!$L$22="Catastrófico"),CONCATENATE("R",'Mapa final'!$A$22),"")</f>
        <v/>
      </c>
      <c r="AM10" s="265"/>
      <c r="AN10" s="83"/>
      <c r="AO10" s="297"/>
      <c r="AP10" s="298"/>
      <c r="AQ10" s="298"/>
      <c r="AR10" s="298"/>
      <c r="AS10" s="298"/>
      <c r="AT10" s="29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92"/>
      <c r="C11" s="292"/>
      <c r="D11" s="293"/>
      <c r="E11" s="285"/>
      <c r="F11" s="286"/>
      <c r="G11" s="286"/>
      <c r="H11" s="286"/>
      <c r="I11" s="287"/>
      <c r="J11" s="272"/>
      <c r="K11" s="273"/>
      <c r="L11" s="273"/>
      <c r="M11" s="273"/>
      <c r="N11" s="273"/>
      <c r="O11" s="274"/>
      <c r="P11" s="272"/>
      <c r="Q11" s="273"/>
      <c r="R11" s="273"/>
      <c r="S11" s="273"/>
      <c r="T11" s="273"/>
      <c r="U11" s="274"/>
      <c r="V11" s="272"/>
      <c r="W11" s="273"/>
      <c r="X11" s="273"/>
      <c r="Y11" s="273"/>
      <c r="Z11" s="273"/>
      <c r="AA11" s="274"/>
      <c r="AB11" s="272"/>
      <c r="AC11" s="273"/>
      <c r="AD11" s="273"/>
      <c r="AE11" s="273"/>
      <c r="AF11" s="273"/>
      <c r="AG11" s="274"/>
      <c r="AH11" s="263"/>
      <c r="AI11" s="264"/>
      <c r="AJ11" s="264"/>
      <c r="AK11" s="264"/>
      <c r="AL11" s="264"/>
      <c r="AM11" s="265"/>
      <c r="AN11" s="83"/>
      <c r="AO11" s="297"/>
      <c r="AP11" s="298"/>
      <c r="AQ11" s="298"/>
      <c r="AR11" s="298"/>
      <c r="AS11" s="298"/>
      <c r="AT11" s="29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92"/>
      <c r="C12" s="292"/>
      <c r="D12" s="293"/>
      <c r="E12" s="285"/>
      <c r="F12" s="286"/>
      <c r="G12" s="286"/>
      <c r="H12" s="286"/>
      <c r="I12" s="287"/>
      <c r="J12" s="272" t="str">
        <f>IF(AND('Mapa final'!$H$28="Muy Alta",'Mapa final'!$L$28="Leve"),CONCATENATE("R",'Mapa final'!$A$28),"")</f>
        <v/>
      </c>
      <c r="K12" s="273"/>
      <c r="L12" s="273" t="str">
        <f>IF(AND('Mapa final'!$H$34="Muy Alta",'Mapa final'!$L$34="Leve"),CONCATENATE("R",'Mapa final'!$A$34),"")</f>
        <v/>
      </c>
      <c r="M12" s="273"/>
      <c r="N12" s="273" t="str">
        <f>IF(AND('Mapa final'!$H$40="Muy Alta",'Mapa final'!$L$40="Leve"),CONCATENATE("R",'Mapa final'!$A$40),"")</f>
        <v/>
      </c>
      <c r="O12" s="274"/>
      <c r="P12" s="272" t="str">
        <f>IF(AND('Mapa final'!$H$28="Muy Alta",'Mapa final'!$L$28="Menor"),CONCATENATE("R",'Mapa final'!$A$28),"")</f>
        <v/>
      </c>
      <c r="Q12" s="273"/>
      <c r="R12" s="273" t="str">
        <f>IF(AND('Mapa final'!$H$34="Muy Alta",'Mapa final'!$L$34="Menor"),CONCATENATE("R",'Mapa final'!$A$34),"")</f>
        <v/>
      </c>
      <c r="S12" s="273"/>
      <c r="T12" s="273" t="str">
        <f>IF(AND('Mapa final'!$H$40="Muy Alta",'Mapa final'!$L$40="Menor"),CONCATENATE("R",'Mapa final'!$A$40),"")</f>
        <v/>
      </c>
      <c r="U12" s="274"/>
      <c r="V12" s="272" t="str">
        <f>IF(AND('Mapa final'!$H$28="Muy Alta",'Mapa final'!$L$28="Moderado"),CONCATENATE("R",'Mapa final'!$A$28),"")</f>
        <v/>
      </c>
      <c r="W12" s="273"/>
      <c r="X12" s="273" t="str">
        <f>IF(AND('Mapa final'!$H$34="Muy Alta",'Mapa final'!$L$34="Moderado"),CONCATENATE("R",'Mapa final'!$A$34),"")</f>
        <v/>
      </c>
      <c r="Y12" s="273"/>
      <c r="Z12" s="273" t="str">
        <f>IF(AND('Mapa final'!$H$40="Muy Alta",'Mapa final'!$L$40="Moderado"),CONCATENATE("R",'Mapa final'!$A$40),"")</f>
        <v/>
      </c>
      <c r="AA12" s="274"/>
      <c r="AB12" s="272" t="str">
        <f>IF(AND('Mapa final'!$H$28="Muy Alta",'Mapa final'!$L$28="Mayor"),CONCATENATE("R",'Mapa final'!$A$28),"")</f>
        <v/>
      </c>
      <c r="AC12" s="273"/>
      <c r="AD12" s="273" t="str">
        <f>IF(AND('Mapa final'!$H$34="Muy Alta",'Mapa final'!$L$34="Mayor"),CONCATENATE("R",'Mapa final'!$A$34),"")</f>
        <v/>
      </c>
      <c r="AE12" s="273"/>
      <c r="AF12" s="273" t="str">
        <f>IF(AND('Mapa final'!$H$40="Muy Alta",'Mapa final'!$L$40="Mayor"),CONCATENATE("R",'Mapa final'!$A$40),"")</f>
        <v/>
      </c>
      <c r="AG12" s="274"/>
      <c r="AH12" s="263" t="str">
        <f>IF(AND('Mapa final'!$H$28="Muy Alta",'Mapa final'!$L$28="Catastrófico"),CONCATENATE("R",'Mapa final'!$A$28),"")</f>
        <v/>
      </c>
      <c r="AI12" s="264"/>
      <c r="AJ12" s="264" t="str">
        <f>IF(AND('Mapa final'!$H$34="Muy Alta",'Mapa final'!$L$34="Catastrófico"),CONCATENATE("R",'Mapa final'!$A$34),"")</f>
        <v/>
      </c>
      <c r="AK12" s="264"/>
      <c r="AL12" s="264" t="str">
        <f>IF(AND('Mapa final'!$H$40="Muy Alta",'Mapa final'!$L$40="Catastrófico"),CONCATENATE("R",'Mapa final'!$A$40),"")</f>
        <v/>
      </c>
      <c r="AM12" s="265"/>
      <c r="AN12" s="83"/>
      <c r="AO12" s="297"/>
      <c r="AP12" s="298"/>
      <c r="AQ12" s="298"/>
      <c r="AR12" s="298"/>
      <c r="AS12" s="298"/>
      <c r="AT12" s="29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92"/>
      <c r="C13" s="292"/>
      <c r="D13" s="293"/>
      <c r="E13" s="288"/>
      <c r="F13" s="289"/>
      <c r="G13" s="289"/>
      <c r="H13" s="289"/>
      <c r="I13" s="290"/>
      <c r="J13" s="272"/>
      <c r="K13" s="273"/>
      <c r="L13" s="273"/>
      <c r="M13" s="273"/>
      <c r="N13" s="273"/>
      <c r="O13" s="274"/>
      <c r="P13" s="272"/>
      <c r="Q13" s="273"/>
      <c r="R13" s="273"/>
      <c r="S13" s="273"/>
      <c r="T13" s="273"/>
      <c r="U13" s="274"/>
      <c r="V13" s="272"/>
      <c r="W13" s="273"/>
      <c r="X13" s="273"/>
      <c r="Y13" s="273"/>
      <c r="Z13" s="273"/>
      <c r="AA13" s="274"/>
      <c r="AB13" s="272"/>
      <c r="AC13" s="273"/>
      <c r="AD13" s="273"/>
      <c r="AE13" s="273"/>
      <c r="AF13" s="273"/>
      <c r="AG13" s="274"/>
      <c r="AH13" s="266"/>
      <c r="AI13" s="267"/>
      <c r="AJ13" s="267"/>
      <c r="AK13" s="267"/>
      <c r="AL13" s="267"/>
      <c r="AM13" s="268"/>
      <c r="AN13" s="83"/>
      <c r="AO13" s="300"/>
      <c r="AP13" s="301"/>
      <c r="AQ13" s="301"/>
      <c r="AR13" s="301"/>
      <c r="AS13" s="301"/>
      <c r="AT13" s="302"/>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92"/>
      <c r="C14" s="292"/>
      <c r="D14" s="293"/>
      <c r="E14" s="282" t="s">
        <v>115</v>
      </c>
      <c r="F14" s="283"/>
      <c r="G14" s="283"/>
      <c r="H14" s="283"/>
      <c r="I14" s="283"/>
      <c r="J14" s="260" t="str">
        <f>IF(AND('Mapa final'!$H$10="Alta",'Mapa final'!$L$10="Leve"),CONCATENATE("R",'Mapa final'!$A$10),"")</f>
        <v/>
      </c>
      <c r="K14" s="261"/>
      <c r="L14" s="261" t="e">
        <f>IF(AND('Mapa final'!#REF!="Alta",'Mapa final'!#REF!="Leve"),CONCATENATE("R",'Mapa final'!#REF!),"")</f>
        <v>#REF!</v>
      </c>
      <c r="M14" s="261"/>
      <c r="N14" s="261" t="str">
        <f>IF(AND('Mapa final'!$H$11="Alta",'Mapa final'!$L$11="Leve"),CONCATENATE("R",'Mapa final'!$A$11),"")</f>
        <v/>
      </c>
      <c r="O14" s="262"/>
      <c r="P14" s="260" t="str">
        <f>IF(AND('Mapa final'!$H$10="Alta",'Mapa final'!$L$10="Menor"),CONCATENATE("R",'Mapa final'!$A$10),"")</f>
        <v/>
      </c>
      <c r="Q14" s="261"/>
      <c r="R14" s="261" t="e">
        <f>IF(AND('Mapa final'!#REF!="Alta",'Mapa final'!#REF!="Menor"),CONCATENATE("R",'Mapa final'!#REF!),"")</f>
        <v>#REF!</v>
      </c>
      <c r="S14" s="261"/>
      <c r="T14" s="261" t="str">
        <f>IF(AND('Mapa final'!$H$11="Alta",'Mapa final'!$L$11="Menor"),CONCATENATE("R",'Mapa final'!$A$11),"")</f>
        <v/>
      </c>
      <c r="U14" s="262"/>
      <c r="V14" s="278" t="str">
        <f>IF(AND('Mapa final'!$H$10="Alta",'Mapa final'!$L$10="Moderado"),CONCATENATE("R",'Mapa final'!$A$10),"")</f>
        <v/>
      </c>
      <c r="W14" s="279"/>
      <c r="X14" s="279" t="e">
        <f>IF(AND('Mapa final'!#REF!="Alta",'Mapa final'!#REF!="Moderado"),CONCATENATE("R",'Mapa final'!#REF!),"")</f>
        <v>#REF!</v>
      </c>
      <c r="Y14" s="279"/>
      <c r="Z14" s="279" t="str">
        <f>IF(AND('Mapa final'!$H$11="Alta",'Mapa final'!$L$11="Moderado"),CONCATENATE("R",'Mapa final'!$A$11),"")</f>
        <v>R2</v>
      </c>
      <c r="AA14" s="280"/>
      <c r="AB14" s="278" t="str">
        <f>IF(AND('Mapa final'!$H$10="Alta",'Mapa final'!$L$10="Mayor"),CONCATENATE("R",'Mapa final'!$A$10),"")</f>
        <v/>
      </c>
      <c r="AC14" s="279"/>
      <c r="AD14" s="279" t="e">
        <f>IF(AND('Mapa final'!#REF!="Alta",'Mapa final'!#REF!="Mayor"),CONCATENATE("R",'Mapa final'!#REF!),"")</f>
        <v>#REF!</v>
      </c>
      <c r="AE14" s="279"/>
      <c r="AF14" s="279" t="str">
        <f>IF(AND('Mapa final'!$H$11="Alta",'Mapa final'!$L$11="Mayor"),CONCATENATE("R",'Mapa final'!$A$11),"")</f>
        <v/>
      </c>
      <c r="AG14" s="280"/>
      <c r="AH14" s="269" t="str">
        <f>IF(AND('Mapa final'!$H$10="Alta",'Mapa final'!$L$10="Catastrófico"),CONCATENATE("R",'Mapa final'!$A$10),"")</f>
        <v/>
      </c>
      <c r="AI14" s="270"/>
      <c r="AJ14" s="270" t="e">
        <f>IF(AND('Mapa final'!#REF!="Alta",'Mapa final'!#REF!="Catastrófico"),CONCATENATE("R",'Mapa final'!#REF!),"")</f>
        <v>#REF!</v>
      </c>
      <c r="AK14" s="270"/>
      <c r="AL14" s="270" t="str">
        <f>IF(AND('Mapa final'!$H$11="Alta",'Mapa final'!$L$11="Catastrófico"),CONCATENATE("R",'Mapa final'!$A$11),"")</f>
        <v/>
      </c>
      <c r="AM14" s="271"/>
      <c r="AN14" s="83"/>
      <c r="AO14" s="303" t="s">
        <v>80</v>
      </c>
      <c r="AP14" s="304"/>
      <c r="AQ14" s="304"/>
      <c r="AR14" s="304"/>
      <c r="AS14" s="304"/>
      <c r="AT14" s="30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92"/>
      <c r="C15" s="292"/>
      <c r="D15" s="293"/>
      <c r="E15" s="285"/>
      <c r="F15" s="286"/>
      <c r="G15" s="286"/>
      <c r="H15" s="286"/>
      <c r="I15" s="286"/>
      <c r="J15" s="254"/>
      <c r="K15" s="255"/>
      <c r="L15" s="255"/>
      <c r="M15" s="255"/>
      <c r="N15" s="255"/>
      <c r="O15" s="256"/>
      <c r="P15" s="254"/>
      <c r="Q15" s="255"/>
      <c r="R15" s="255"/>
      <c r="S15" s="255"/>
      <c r="T15" s="255"/>
      <c r="U15" s="256"/>
      <c r="V15" s="272"/>
      <c r="W15" s="273"/>
      <c r="X15" s="273"/>
      <c r="Y15" s="273"/>
      <c r="Z15" s="273"/>
      <c r="AA15" s="274"/>
      <c r="AB15" s="272"/>
      <c r="AC15" s="273"/>
      <c r="AD15" s="273"/>
      <c r="AE15" s="273"/>
      <c r="AF15" s="273"/>
      <c r="AG15" s="274"/>
      <c r="AH15" s="263"/>
      <c r="AI15" s="264"/>
      <c r="AJ15" s="264"/>
      <c r="AK15" s="264"/>
      <c r="AL15" s="264"/>
      <c r="AM15" s="265"/>
      <c r="AN15" s="83"/>
      <c r="AO15" s="306"/>
      <c r="AP15" s="307"/>
      <c r="AQ15" s="307"/>
      <c r="AR15" s="307"/>
      <c r="AS15" s="307"/>
      <c r="AT15" s="30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92"/>
      <c r="C16" s="292"/>
      <c r="D16" s="293"/>
      <c r="E16" s="285"/>
      <c r="F16" s="286"/>
      <c r="G16" s="286"/>
      <c r="H16" s="286"/>
      <c r="I16" s="286"/>
      <c r="J16" s="254" t="str">
        <f>IF(AND('Mapa final'!$H$12="Alta",'Mapa final'!$L$12="Leve"),CONCATENATE("R",'Mapa final'!$A$12),"")</f>
        <v/>
      </c>
      <c r="K16" s="255"/>
      <c r="L16" s="255" t="str">
        <f>IF(AND('Mapa final'!$H$13="Alta",'Mapa final'!$L$13="Leve"),CONCATENATE("R",'Mapa final'!$A$13),"")</f>
        <v/>
      </c>
      <c r="M16" s="255"/>
      <c r="N16" s="255" t="str">
        <f>IF(AND('Mapa final'!$H$14="Alta",'Mapa final'!$L$14="Leve"),CONCATENATE("R",'Mapa final'!$A$14),"")</f>
        <v/>
      </c>
      <c r="O16" s="256"/>
      <c r="P16" s="254" t="str">
        <f>IF(AND('Mapa final'!$H$12="Alta",'Mapa final'!$L$12="Menor"),CONCATENATE("R",'Mapa final'!$A$12),"")</f>
        <v/>
      </c>
      <c r="Q16" s="255"/>
      <c r="R16" s="255" t="str">
        <f>IF(AND('Mapa final'!$H$13="Alta",'Mapa final'!$L$13="Menor"),CONCATENATE("R",'Mapa final'!$A$13),"")</f>
        <v/>
      </c>
      <c r="S16" s="255"/>
      <c r="T16" s="255" t="str">
        <f>IF(AND('Mapa final'!$H$14="Alta",'Mapa final'!$L$14="Menor"),CONCATENATE("R",'Mapa final'!$A$14),"")</f>
        <v/>
      </c>
      <c r="U16" s="256"/>
      <c r="V16" s="272" t="str">
        <f>IF(AND('Mapa final'!$H$12="Alta",'Mapa final'!$L$12="Moderado"),CONCATENATE("R",'Mapa final'!$A$12),"")</f>
        <v>R3</v>
      </c>
      <c r="W16" s="273"/>
      <c r="X16" s="273" t="str">
        <f>IF(AND('Mapa final'!$H$13="Alta",'Mapa final'!$L$13="Moderado"),CONCATENATE("R",'Mapa final'!$A$13),"")</f>
        <v/>
      </c>
      <c r="Y16" s="273"/>
      <c r="Z16" s="273" t="str">
        <f>IF(AND('Mapa final'!$H$14="Alta",'Mapa final'!$L$14="Moderado"),CONCATENATE("R",'Mapa final'!$A$14),"")</f>
        <v/>
      </c>
      <c r="AA16" s="274"/>
      <c r="AB16" s="272" t="str">
        <f>IF(AND('Mapa final'!$H$12="Alta",'Mapa final'!$L$12="Mayor"),CONCATENATE("R",'Mapa final'!$A$12),"")</f>
        <v/>
      </c>
      <c r="AC16" s="273"/>
      <c r="AD16" s="273" t="str">
        <f>IF(AND('Mapa final'!$H$13="Alta",'Mapa final'!$L$13="Mayor"),CONCATENATE("R",'Mapa final'!$A$13),"")</f>
        <v/>
      </c>
      <c r="AE16" s="273"/>
      <c r="AF16" s="273" t="str">
        <f>IF(AND('Mapa final'!$H$14="Alta",'Mapa final'!$L$14="Mayor"),CONCATENATE("R",'Mapa final'!$A$14),"")</f>
        <v/>
      </c>
      <c r="AG16" s="274"/>
      <c r="AH16" s="263" t="str">
        <f>IF(AND('Mapa final'!$H$12="Alta",'Mapa final'!$L$12="Catastrófico"),CONCATENATE("R",'Mapa final'!$A$12),"")</f>
        <v/>
      </c>
      <c r="AI16" s="264"/>
      <c r="AJ16" s="264" t="str">
        <f>IF(AND('Mapa final'!$H$13="Alta",'Mapa final'!$L$13="Catastrófico"),CONCATENATE("R",'Mapa final'!$A$13),"")</f>
        <v/>
      </c>
      <c r="AK16" s="264"/>
      <c r="AL16" s="264" t="str">
        <f>IF(AND('Mapa final'!$H$14="Alta",'Mapa final'!$L$14="Catastrófico"),CONCATENATE("R",'Mapa final'!$A$14),"")</f>
        <v/>
      </c>
      <c r="AM16" s="265"/>
      <c r="AN16" s="83"/>
      <c r="AO16" s="306"/>
      <c r="AP16" s="307"/>
      <c r="AQ16" s="307"/>
      <c r="AR16" s="307"/>
      <c r="AS16" s="307"/>
      <c r="AT16" s="308"/>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92"/>
      <c r="C17" s="292"/>
      <c r="D17" s="293"/>
      <c r="E17" s="285"/>
      <c r="F17" s="286"/>
      <c r="G17" s="286"/>
      <c r="H17" s="286"/>
      <c r="I17" s="286"/>
      <c r="J17" s="254"/>
      <c r="K17" s="255"/>
      <c r="L17" s="255"/>
      <c r="M17" s="255"/>
      <c r="N17" s="255"/>
      <c r="O17" s="256"/>
      <c r="P17" s="254"/>
      <c r="Q17" s="255"/>
      <c r="R17" s="255"/>
      <c r="S17" s="255"/>
      <c r="T17" s="255"/>
      <c r="U17" s="256"/>
      <c r="V17" s="272"/>
      <c r="W17" s="273"/>
      <c r="X17" s="273"/>
      <c r="Y17" s="273"/>
      <c r="Z17" s="273"/>
      <c r="AA17" s="274"/>
      <c r="AB17" s="272"/>
      <c r="AC17" s="273"/>
      <c r="AD17" s="273"/>
      <c r="AE17" s="273"/>
      <c r="AF17" s="273"/>
      <c r="AG17" s="274"/>
      <c r="AH17" s="263"/>
      <c r="AI17" s="264"/>
      <c r="AJ17" s="264"/>
      <c r="AK17" s="264"/>
      <c r="AL17" s="264"/>
      <c r="AM17" s="265"/>
      <c r="AN17" s="83"/>
      <c r="AO17" s="306"/>
      <c r="AP17" s="307"/>
      <c r="AQ17" s="307"/>
      <c r="AR17" s="307"/>
      <c r="AS17" s="307"/>
      <c r="AT17" s="30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92"/>
      <c r="C18" s="292"/>
      <c r="D18" s="293"/>
      <c r="E18" s="285"/>
      <c r="F18" s="286"/>
      <c r="G18" s="286"/>
      <c r="H18" s="286"/>
      <c r="I18" s="286"/>
      <c r="J18" s="254" t="str">
        <f>IF(AND('Mapa final'!$H$15="Alta",'Mapa final'!$L$15="Leve"),CONCATENATE("R",'Mapa final'!$A$15),"")</f>
        <v/>
      </c>
      <c r="K18" s="255"/>
      <c r="L18" s="255" t="str">
        <f>IF(AND('Mapa final'!$H$16="Alta",'Mapa final'!$L$16="Leve"),CONCATENATE("R",'Mapa final'!$A$16),"")</f>
        <v/>
      </c>
      <c r="M18" s="255"/>
      <c r="N18" s="255" t="str">
        <f>IF(AND('Mapa final'!$H$22="Alta",'Mapa final'!$L$22="Leve"),CONCATENATE("R",'Mapa final'!$A$22),"")</f>
        <v/>
      </c>
      <c r="O18" s="256"/>
      <c r="P18" s="254" t="str">
        <f>IF(AND('Mapa final'!$H$15="Alta",'Mapa final'!$L$15="Menor"),CONCATENATE("R",'Mapa final'!$A$15),"")</f>
        <v/>
      </c>
      <c r="Q18" s="255"/>
      <c r="R18" s="255" t="str">
        <f>IF(AND('Mapa final'!$H$16="Alta",'Mapa final'!$L$16="Menor"),CONCATENATE("R",'Mapa final'!$A$16),"")</f>
        <v/>
      </c>
      <c r="S18" s="255"/>
      <c r="T18" s="255" t="str">
        <f>IF(AND('Mapa final'!$H$22="Alta",'Mapa final'!$L$22="Menor"),CONCATENATE("R",'Mapa final'!$A$22),"")</f>
        <v/>
      </c>
      <c r="U18" s="256"/>
      <c r="V18" s="272" t="str">
        <f>IF(AND('Mapa final'!$H$15="Alta",'Mapa final'!$L$15="Moderado"),CONCATENATE("R",'Mapa final'!$A$15),"")</f>
        <v/>
      </c>
      <c r="W18" s="273"/>
      <c r="X18" s="273" t="str">
        <f>IF(AND('Mapa final'!$H$16="Alta",'Mapa final'!$L$16="Moderado"),CONCATENATE("R",'Mapa final'!$A$16),"")</f>
        <v/>
      </c>
      <c r="Y18" s="273"/>
      <c r="Z18" s="273" t="str">
        <f>IF(AND('Mapa final'!$H$22="Alta",'Mapa final'!$L$22="Moderado"),CONCATENATE("R",'Mapa final'!$A$22),"")</f>
        <v/>
      </c>
      <c r="AA18" s="274"/>
      <c r="AB18" s="272" t="str">
        <f>IF(AND('Mapa final'!$H$15="Alta",'Mapa final'!$L$15="Mayor"),CONCATENATE("R",'Mapa final'!$A$15),"")</f>
        <v/>
      </c>
      <c r="AC18" s="273"/>
      <c r="AD18" s="273" t="str">
        <f>IF(AND('Mapa final'!$H$16="Alta",'Mapa final'!$L$16="Mayor"),CONCATENATE("R",'Mapa final'!$A$16),"")</f>
        <v/>
      </c>
      <c r="AE18" s="273"/>
      <c r="AF18" s="273" t="str">
        <f>IF(AND('Mapa final'!$H$22="Alta",'Mapa final'!$L$22="Mayor"),CONCATENATE("R",'Mapa final'!$A$22),"")</f>
        <v/>
      </c>
      <c r="AG18" s="274"/>
      <c r="AH18" s="263" t="str">
        <f>IF(AND('Mapa final'!$H$15="Alta",'Mapa final'!$L$15="Catastrófico"),CONCATENATE("R",'Mapa final'!$A$15),"")</f>
        <v/>
      </c>
      <c r="AI18" s="264"/>
      <c r="AJ18" s="264" t="str">
        <f>IF(AND('Mapa final'!$H$16="Alta",'Mapa final'!$L$16="Catastrófico"),CONCATENATE("R",'Mapa final'!$A$16),"")</f>
        <v/>
      </c>
      <c r="AK18" s="264"/>
      <c r="AL18" s="264" t="str">
        <f>IF(AND('Mapa final'!$H$22="Alta",'Mapa final'!$L$22="Catastrófico"),CONCATENATE("R",'Mapa final'!$A$22),"")</f>
        <v/>
      </c>
      <c r="AM18" s="265"/>
      <c r="AN18" s="83"/>
      <c r="AO18" s="306"/>
      <c r="AP18" s="307"/>
      <c r="AQ18" s="307"/>
      <c r="AR18" s="307"/>
      <c r="AS18" s="307"/>
      <c r="AT18" s="30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92"/>
      <c r="C19" s="292"/>
      <c r="D19" s="293"/>
      <c r="E19" s="285"/>
      <c r="F19" s="286"/>
      <c r="G19" s="286"/>
      <c r="H19" s="286"/>
      <c r="I19" s="286"/>
      <c r="J19" s="254"/>
      <c r="K19" s="255"/>
      <c r="L19" s="255"/>
      <c r="M19" s="255"/>
      <c r="N19" s="255"/>
      <c r="O19" s="256"/>
      <c r="P19" s="254"/>
      <c r="Q19" s="255"/>
      <c r="R19" s="255"/>
      <c r="S19" s="255"/>
      <c r="T19" s="255"/>
      <c r="U19" s="256"/>
      <c r="V19" s="272"/>
      <c r="W19" s="273"/>
      <c r="X19" s="273"/>
      <c r="Y19" s="273"/>
      <c r="Z19" s="273"/>
      <c r="AA19" s="274"/>
      <c r="AB19" s="272"/>
      <c r="AC19" s="273"/>
      <c r="AD19" s="273"/>
      <c r="AE19" s="273"/>
      <c r="AF19" s="273"/>
      <c r="AG19" s="274"/>
      <c r="AH19" s="263"/>
      <c r="AI19" s="264"/>
      <c r="AJ19" s="264"/>
      <c r="AK19" s="264"/>
      <c r="AL19" s="264"/>
      <c r="AM19" s="265"/>
      <c r="AN19" s="83"/>
      <c r="AO19" s="306"/>
      <c r="AP19" s="307"/>
      <c r="AQ19" s="307"/>
      <c r="AR19" s="307"/>
      <c r="AS19" s="307"/>
      <c r="AT19" s="30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92"/>
      <c r="C20" s="292"/>
      <c r="D20" s="293"/>
      <c r="E20" s="285"/>
      <c r="F20" s="286"/>
      <c r="G20" s="286"/>
      <c r="H20" s="286"/>
      <c r="I20" s="286"/>
      <c r="J20" s="254" t="str">
        <f>IF(AND('Mapa final'!$H$28="Alta",'Mapa final'!$L$28="Leve"),CONCATENATE("R",'Mapa final'!$A$28),"")</f>
        <v/>
      </c>
      <c r="K20" s="255"/>
      <c r="L20" s="255" t="str">
        <f>IF(AND('Mapa final'!$H$34="Alta",'Mapa final'!$L$34="Leve"),CONCATENATE("R",'Mapa final'!$A$34),"")</f>
        <v/>
      </c>
      <c r="M20" s="255"/>
      <c r="N20" s="255" t="str">
        <f>IF(AND('Mapa final'!$H$40="Alta",'Mapa final'!$L$40="Leve"),CONCATENATE("R",'Mapa final'!$A$40),"")</f>
        <v/>
      </c>
      <c r="O20" s="256"/>
      <c r="P20" s="254" t="str">
        <f>IF(AND('Mapa final'!$H$28="Alta",'Mapa final'!$L$28="Menor"),CONCATENATE("R",'Mapa final'!$A$28),"")</f>
        <v/>
      </c>
      <c r="Q20" s="255"/>
      <c r="R20" s="255" t="str">
        <f>IF(AND('Mapa final'!$H$34="Alta",'Mapa final'!$L$34="Menor"),CONCATENATE("R",'Mapa final'!$A$34),"")</f>
        <v/>
      </c>
      <c r="S20" s="255"/>
      <c r="T20" s="255" t="str">
        <f>IF(AND('Mapa final'!$H$40="Alta",'Mapa final'!$L$40="Menor"),CONCATENATE("R",'Mapa final'!$A$40),"")</f>
        <v/>
      </c>
      <c r="U20" s="256"/>
      <c r="V20" s="272" t="str">
        <f>IF(AND('Mapa final'!$H$28="Alta",'Mapa final'!$L$28="Moderado"),CONCATENATE("R",'Mapa final'!$A$28),"")</f>
        <v/>
      </c>
      <c r="W20" s="273"/>
      <c r="X20" s="273" t="str">
        <f>IF(AND('Mapa final'!$H$34="Alta",'Mapa final'!$L$34="Moderado"),CONCATENATE("R",'Mapa final'!$A$34),"")</f>
        <v/>
      </c>
      <c r="Y20" s="273"/>
      <c r="Z20" s="273" t="str">
        <f>IF(AND('Mapa final'!$H$40="Alta",'Mapa final'!$L$40="Moderado"),CONCATENATE("R",'Mapa final'!$A$40),"")</f>
        <v/>
      </c>
      <c r="AA20" s="274"/>
      <c r="AB20" s="272" t="str">
        <f>IF(AND('Mapa final'!$H$28="Alta",'Mapa final'!$L$28="Mayor"),CONCATENATE("R",'Mapa final'!$A$28),"")</f>
        <v/>
      </c>
      <c r="AC20" s="273"/>
      <c r="AD20" s="273" t="str">
        <f>IF(AND('Mapa final'!$H$34="Alta",'Mapa final'!$L$34="Mayor"),CONCATENATE("R",'Mapa final'!$A$34),"")</f>
        <v/>
      </c>
      <c r="AE20" s="273"/>
      <c r="AF20" s="273" t="str">
        <f>IF(AND('Mapa final'!$H$40="Alta",'Mapa final'!$L$40="Mayor"),CONCATENATE("R",'Mapa final'!$A$40),"")</f>
        <v/>
      </c>
      <c r="AG20" s="274"/>
      <c r="AH20" s="263" t="str">
        <f>IF(AND('Mapa final'!$H$28="Alta",'Mapa final'!$L$28="Catastrófico"),CONCATENATE("R",'Mapa final'!$A$28),"")</f>
        <v/>
      </c>
      <c r="AI20" s="264"/>
      <c r="AJ20" s="264" t="str">
        <f>IF(AND('Mapa final'!$H$34="Alta",'Mapa final'!$L$34="Catastrófico"),CONCATENATE("R",'Mapa final'!$A$34),"")</f>
        <v/>
      </c>
      <c r="AK20" s="264"/>
      <c r="AL20" s="264" t="str">
        <f>IF(AND('Mapa final'!$H$40="Alta",'Mapa final'!$L$40="Catastrófico"),CONCATENATE("R",'Mapa final'!$A$40),"")</f>
        <v/>
      </c>
      <c r="AM20" s="265"/>
      <c r="AN20" s="83"/>
      <c r="AO20" s="306"/>
      <c r="AP20" s="307"/>
      <c r="AQ20" s="307"/>
      <c r="AR20" s="307"/>
      <c r="AS20" s="307"/>
      <c r="AT20" s="30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92"/>
      <c r="C21" s="292"/>
      <c r="D21" s="293"/>
      <c r="E21" s="288"/>
      <c r="F21" s="289"/>
      <c r="G21" s="289"/>
      <c r="H21" s="289"/>
      <c r="I21" s="289"/>
      <c r="J21" s="257"/>
      <c r="K21" s="258"/>
      <c r="L21" s="258"/>
      <c r="M21" s="258"/>
      <c r="N21" s="258"/>
      <c r="O21" s="259"/>
      <c r="P21" s="257"/>
      <c r="Q21" s="258"/>
      <c r="R21" s="258"/>
      <c r="S21" s="258"/>
      <c r="T21" s="258"/>
      <c r="U21" s="259"/>
      <c r="V21" s="275"/>
      <c r="W21" s="276"/>
      <c r="X21" s="276"/>
      <c r="Y21" s="276"/>
      <c r="Z21" s="276"/>
      <c r="AA21" s="277"/>
      <c r="AB21" s="275"/>
      <c r="AC21" s="276"/>
      <c r="AD21" s="276"/>
      <c r="AE21" s="276"/>
      <c r="AF21" s="276"/>
      <c r="AG21" s="277"/>
      <c r="AH21" s="266"/>
      <c r="AI21" s="267"/>
      <c r="AJ21" s="267"/>
      <c r="AK21" s="267"/>
      <c r="AL21" s="267"/>
      <c r="AM21" s="268"/>
      <c r="AN21" s="83"/>
      <c r="AO21" s="309"/>
      <c r="AP21" s="310"/>
      <c r="AQ21" s="310"/>
      <c r="AR21" s="310"/>
      <c r="AS21" s="310"/>
      <c r="AT21" s="311"/>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92"/>
      <c r="C22" s="292"/>
      <c r="D22" s="293"/>
      <c r="E22" s="282" t="s">
        <v>117</v>
      </c>
      <c r="F22" s="283"/>
      <c r="G22" s="283"/>
      <c r="H22" s="283"/>
      <c r="I22" s="284"/>
      <c r="J22" s="260" t="str">
        <f>IF(AND('Mapa final'!$H$10="Media",'Mapa final'!$L$10="Leve"),CONCATENATE("R",'Mapa final'!$A$10),"")</f>
        <v/>
      </c>
      <c r="K22" s="261"/>
      <c r="L22" s="261" t="e">
        <f>IF(AND('Mapa final'!#REF!="Media",'Mapa final'!#REF!="Leve"),CONCATENATE("R",'Mapa final'!#REF!),"")</f>
        <v>#REF!</v>
      </c>
      <c r="M22" s="261"/>
      <c r="N22" s="261" t="str">
        <f>IF(AND('Mapa final'!$H$11="Media",'Mapa final'!$L$11="Leve"),CONCATENATE("R",'Mapa final'!$A$11),"")</f>
        <v/>
      </c>
      <c r="O22" s="262"/>
      <c r="P22" s="260" t="str">
        <f>IF(AND('Mapa final'!$H$10="Media",'Mapa final'!$L$10="Menor"),CONCATENATE("R",'Mapa final'!$A$10),"")</f>
        <v/>
      </c>
      <c r="Q22" s="261"/>
      <c r="R22" s="261" t="e">
        <f>IF(AND('Mapa final'!#REF!="Media",'Mapa final'!#REF!="Menor"),CONCATENATE("R",'Mapa final'!#REF!),"")</f>
        <v>#REF!</v>
      </c>
      <c r="S22" s="261"/>
      <c r="T22" s="261" t="str">
        <f>IF(AND('Mapa final'!$H$11="Media",'Mapa final'!$L$11="Menor"),CONCATENATE("R",'Mapa final'!$A$11),"")</f>
        <v/>
      </c>
      <c r="U22" s="262"/>
      <c r="V22" s="260" t="str">
        <f>IF(AND('Mapa final'!$H$10="Media",'Mapa final'!$L$10="Moderado"),CONCATENATE("R",'Mapa final'!$A$10),"")</f>
        <v>R1</v>
      </c>
      <c r="W22" s="261"/>
      <c r="X22" s="261" t="e">
        <f>IF(AND('Mapa final'!#REF!="Media",'Mapa final'!#REF!="Moderado"),CONCATENATE("R",'Mapa final'!#REF!),"")</f>
        <v>#REF!</v>
      </c>
      <c r="Y22" s="261"/>
      <c r="Z22" s="261" t="str">
        <f>IF(AND('Mapa final'!$H$11="Media",'Mapa final'!$L$11="Moderado"),CONCATENATE("R",'Mapa final'!$A$11),"")</f>
        <v/>
      </c>
      <c r="AA22" s="262"/>
      <c r="AB22" s="278" t="str">
        <f>IF(AND('Mapa final'!$H$10="Media",'Mapa final'!$L$10="Mayor"),CONCATENATE("R",'Mapa final'!$A$10),"")</f>
        <v/>
      </c>
      <c r="AC22" s="279"/>
      <c r="AD22" s="279" t="e">
        <f>IF(AND('Mapa final'!#REF!="Media",'Mapa final'!#REF!="Mayor"),CONCATENATE("R",'Mapa final'!#REF!),"")</f>
        <v>#REF!</v>
      </c>
      <c r="AE22" s="279"/>
      <c r="AF22" s="279" t="str">
        <f>IF(AND('Mapa final'!$H$11="Media",'Mapa final'!$L$11="Mayor"),CONCATENATE("R",'Mapa final'!$A$11),"")</f>
        <v/>
      </c>
      <c r="AG22" s="280"/>
      <c r="AH22" s="269" t="str">
        <f>IF(AND('Mapa final'!$H$10="Media",'Mapa final'!$L$10="Catastrófico"),CONCATENATE("R",'Mapa final'!$A$10),"")</f>
        <v/>
      </c>
      <c r="AI22" s="270"/>
      <c r="AJ22" s="270" t="e">
        <f>IF(AND('Mapa final'!#REF!="Media",'Mapa final'!#REF!="Catastrófico"),CONCATENATE("R",'Mapa final'!#REF!),"")</f>
        <v>#REF!</v>
      </c>
      <c r="AK22" s="270"/>
      <c r="AL22" s="270" t="str">
        <f>IF(AND('Mapa final'!$H$11="Media",'Mapa final'!$L$11="Catastrófico"),CONCATENATE("R",'Mapa final'!$A$11),"")</f>
        <v/>
      </c>
      <c r="AM22" s="271"/>
      <c r="AN22" s="83"/>
      <c r="AO22" s="312" t="s">
        <v>81</v>
      </c>
      <c r="AP22" s="313"/>
      <c r="AQ22" s="313"/>
      <c r="AR22" s="313"/>
      <c r="AS22" s="313"/>
      <c r="AT22" s="314"/>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92"/>
      <c r="C23" s="292"/>
      <c r="D23" s="293"/>
      <c r="E23" s="285"/>
      <c r="F23" s="286"/>
      <c r="G23" s="286"/>
      <c r="H23" s="286"/>
      <c r="I23" s="287"/>
      <c r="J23" s="254"/>
      <c r="K23" s="255"/>
      <c r="L23" s="255"/>
      <c r="M23" s="255"/>
      <c r="N23" s="255"/>
      <c r="O23" s="256"/>
      <c r="P23" s="254"/>
      <c r="Q23" s="255"/>
      <c r="R23" s="255"/>
      <c r="S23" s="255"/>
      <c r="T23" s="255"/>
      <c r="U23" s="256"/>
      <c r="V23" s="254"/>
      <c r="W23" s="255"/>
      <c r="X23" s="255"/>
      <c r="Y23" s="255"/>
      <c r="Z23" s="255"/>
      <c r="AA23" s="256"/>
      <c r="AB23" s="272"/>
      <c r="AC23" s="273"/>
      <c r="AD23" s="273"/>
      <c r="AE23" s="273"/>
      <c r="AF23" s="273"/>
      <c r="AG23" s="274"/>
      <c r="AH23" s="263"/>
      <c r="AI23" s="264"/>
      <c r="AJ23" s="264"/>
      <c r="AK23" s="264"/>
      <c r="AL23" s="264"/>
      <c r="AM23" s="265"/>
      <c r="AN23" s="83"/>
      <c r="AO23" s="315"/>
      <c r="AP23" s="316"/>
      <c r="AQ23" s="316"/>
      <c r="AR23" s="316"/>
      <c r="AS23" s="316"/>
      <c r="AT23" s="31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92"/>
      <c r="C24" s="292"/>
      <c r="D24" s="293"/>
      <c r="E24" s="285"/>
      <c r="F24" s="286"/>
      <c r="G24" s="286"/>
      <c r="H24" s="286"/>
      <c r="I24" s="287"/>
      <c r="J24" s="254" t="str">
        <f>IF(AND('Mapa final'!$H$12="Media",'Mapa final'!$L$12="Leve"),CONCATENATE("R",'Mapa final'!$A$12),"")</f>
        <v/>
      </c>
      <c r="K24" s="255"/>
      <c r="L24" s="255" t="str">
        <f>IF(AND('Mapa final'!$H$13="Media",'Mapa final'!$L$13="Leve"),CONCATENATE("R",'Mapa final'!$A$13),"")</f>
        <v/>
      </c>
      <c r="M24" s="255"/>
      <c r="N24" s="255" t="str">
        <f>IF(AND('Mapa final'!$H$14="Media",'Mapa final'!$L$14="Leve"),CONCATENATE("R",'Mapa final'!$A$14),"")</f>
        <v/>
      </c>
      <c r="O24" s="256"/>
      <c r="P24" s="254" t="str">
        <f>IF(AND('Mapa final'!$H$12="Media",'Mapa final'!$L$12="Menor"),CONCATENATE("R",'Mapa final'!$A$12),"")</f>
        <v/>
      </c>
      <c r="Q24" s="255"/>
      <c r="R24" s="255" t="str">
        <f>IF(AND('Mapa final'!$H$13="Media",'Mapa final'!$L$13="Menor"),CONCATENATE("R",'Mapa final'!$A$13),"")</f>
        <v/>
      </c>
      <c r="S24" s="255"/>
      <c r="T24" s="255" t="str">
        <f>IF(AND('Mapa final'!$H$14="Media",'Mapa final'!$L$14="Menor"),CONCATENATE("R",'Mapa final'!$A$14),"")</f>
        <v/>
      </c>
      <c r="U24" s="256"/>
      <c r="V24" s="254" t="str">
        <f>IF(AND('Mapa final'!$H$12="Media",'Mapa final'!$L$12="Moderado"),CONCATENATE("R",'Mapa final'!$A$12),"")</f>
        <v/>
      </c>
      <c r="W24" s="255"/>
      <c r="X24" s="255" t="str">
        <f>IF(AND('Mapa final'!$H$13="Media",'Mapa final'!$L$13="Moderado"),CONCATENATE("R",'Mapa final'!$A$13),"")</f>
        <v>R4</v>
      </c>
      <c r="Y24" s="255"/>
      <c r="Z24" s="255" t="str">
        <f>IF(AND('Mapa final'!$H$14="Media",'Mapa final'!$L$14="Moderado"),CONCATENATE("R",'Mapa final'!$A$14),"")</f>
        <v>R5</v>
      </c>
      <c r="AA24" s="256"/>
      <c r="AB24" s="272" t="str">
        <f>IF(AND('Mapa final'!$H$12="Media",'Mapa final'!$L$12="Mayor"),CONCATENATE("R",'Mapa final'!$A$12),"")</f>
        <v/>
      </c>
      <c r="AC24" s="273"/>
      <c r="AD24" s="273" t="str">
        <f>IF(AND('Mapa final'!$H$13="Media",'Mapa final'!$L$13="Mayor"),CONCATENATE("R",'Mapa final'!$A$13),"")</f>
        <v/>
      </c>
      <c r="AE24" s="273"/>
      <c r="AF24" s="273" t="str">
        <f>IF(AND('Mapa final'!$H$14="Media",'Mapa final'!$L$14="Mayor"),CONCATENATE("R",'Mapa final'!$A$14),"")</f>
        <v/>
      </c>
      <c r="AG24" s="274"/>
      <c r="AH24" s="263" t="str">
        <f>IF(AND('Mapa final'!$H$12="Media",'Mapa final'!$L$12="Catastrófico"),CONCATENATE("R",'Mapa final'!$A$12),"")</f>
        <v/>
      </c>
      <c r="AI24" s="264"/>
      <c r="AJ24" s="264" t="str">
        <f>IF(AND('Mapa final'!$H$13="Media",'Mapa final'!$L$13="Catastrófico"),CONCATENATE("R",'Mapa final'!$A$13),"")</f>
        <v/>
      </c>
      <c r="AK24" s="264"/>
      <c r="AL24" s="264" t="str">
        <f>IF(AND('Mapa final'!$H$14="Media",'Mapa final'!$L$14="Catastrófico"),CONCATENATE("R",'Mapa final'!$A$14),"")</f>
        <v/>
      </c>
      <c r="AM24" s="265"/>
      <c r="AN24" s="83"/>
      <c r="AO24" s="315"/>
      <c r="AP24" s="316"/>
      <c r="AQ24" s="316"/>
      <c r="AR24" s="316"/>
      <c r="AS24" s="316"/>
      <c r="AT24" s="31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92"/>
      <c r="C25" s="292"/>
      <c r="D25" s="293"/>
      <c r="E25" s="285"/>
      <c r="F25" s="286"/>
      <c r="G25" s="286"/>
      <c r="H25" s="286"/>
      <c r="I25" s="287"/>
      <c r="J25" s="254"/>
      <c r="K25" s="255"/>
      <c r="L25" s="255"/>
      <c r="M25" s="255"/>
      <c r="N25" s="255"/>
      <c r="O25" s="256"/>
      <c r="P25" s="254"/>
      <c r="Q25" s="255"/>
      <c r="R25" s="255"/>
      <c r="S25" s="255"/>
      <c r="T25" s="255"/>
      <c r="U25" s="256"/>
      <c r="V25" s="254"/>
      <c r="W25" s="255"/>
      <c r="X25" s="255"/>
      <c r="Y25" s="255"/>
      <c r="Z25" s="255"/>
      <c r="AA25" s="256"/>
      <c r="AB25" s="272"/>
      <c r="AC25" s="273"/>
      <c r="AD25" s="273"/>
      <c r="AE25" s="273"/>
      <c r="AF25" s="273"/>
      <c r="AG25" s="274"/>
      <c r="AH25" s="263"/>
      <c r="AI25" s="264"/>
      <c r="AJ25" s="264"/>
      <c r="AK25" s="264"/>
      <c r="AL25" s="264"/>
      <c r="AM25" s="265"/>
      <c r="AN25" s="83"/>
      <c r="AO25" s="315"/>
      <c r="AP25" s="316"/>
      <c r="AQ25" s="316"/>
      <c r="AR25" s="316"/>
      <c r="AS25" s="316"/>
      <c r="AT25" s="317"/>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92"/>
      <c r="C26" s="292"/>
      <c r="D26" s="293"/>
      <c r="E26" s="285"/>
      <c r="F26" s="286"/>
      <c r="G26" s="286"/>
      <c r="H26" s="286"/>
      <c r="I26" s="287"/>
      <c r="J26" s="254" t="str">
        <f>IF(AND('Mapa final'!$H$15="Media",'Mapa final'!$L$15="Leve"),CONCATENATE("R",'Mapa final'!$A$15),"")</f>
        <v/>
      </c>
      <c r="K26" s="255"/>
      <c r="L26" s="255" t="str">
        <f>IF(AND('Mapa final'!$H$16="Media",'Mapa final'!$L$16="Leve"),CONCATENATE("R",'Mapa final'!$A$16),"")</f>
        <v/>
      </c>
      <c r="M26" s="255"/>
      <c r="N26" s="255" t="str">
        <f>IF(AND('Mapa final'!$H$22="Media",'Mapa final'!$L$22="Leve"),CONCATENATE("R",'Mapa final'!$A$22),"")</f>
        <v/>
      </c>
      <c r="O26" s="256"/>
      <c r="P26" s="254" t="str">
        <f>IF(AND('Mapa final'!$H$15="Media",'Mapa final'!$L$15="Menor"),CONCATENATE("R",'Mapa final'!$A$15),"")</f>
        <v/>
      </c>
      <c r="Q26" s="255"/>
      <c r="R26" s="255" t="str">
        <f>IF(AND('Mapa final'!$H$16="Media",'Mapa final'!$L$16="Menor"),CONCATENATE("R",'Mapa final'!$A$16),"")</f>
        <v/>
      </c>
      <c r="S26" s="255"/>
      <c r="T26" s="255" t="str">
        <f>IF(AND('Mapa final'!$H$22="Media",'Mapa final'!$L$22="Menor"),CONCATENATE("R",'Mapa final'!$A$22),"")</f>
        <v/>
      </c>
      <c r="U26" s="256"/>
      <c r="V26" s="254" t="str">
        <f>IF(AND('Mapa final'!$H$15="Media",'Mapa final'!$L$15="Moderado"),CONCATENATE("R",'Mapa final'!$A$15),"")</f>
        <v>R6</v>
      </c>
      <c r="W26" s="255"/>
      <c r="X26" s="255" t="str">
        <f>IF(AND('Mapa final'!$H$16="Media",'Mapa final'!$L$16="Moderado"),CONCATENATE("R",'Mapa final'!$A$16),"")</f>
        <v/>
      </c>
      <c r="Y26" s="255"/>
      <c r="Z26" s="255" t="str">
        <f>IF(AND('Mapa final'!$H$22="Media",'Mapa final'!$L$22="Moderado"),CONCATENATE("R",'Mapa final'!$A$22),"")</f>
        <v/>
      </c>
      <c r="AA26" s="256"/>
      <c r="AB26" s="272" t="str">
        <f>IF(AND('Mapa final'!$H$15="Media",'Mapa final'!$L$15="Mayor"),CONCATENATE("R",'Mapa final'!$A$15),"")</f>
        <v/>
      </c>
      <c r="AC26" s="273"/>
      <c r="AD26" s="273" t="str">
        <f>IF(AND('Mapa final'!$H$16="Media",'Mapa final'!$L$16="Mayor"),CONCATENATE("R",'Mapa final'!$A$16),"")</f>
        <v/>
      </c>
      <c r="AE26" s="273"/>
      <c r="AF26" s="273" t="str">
        <f>IF(AND('Mapa final'!$H$22="Media",'Mapa final'!$L$22="Mayor"),CONCATENATE("R",'Mapa final'!$A$22),"")</f>
        <v/>
      </c>
      <c r="AG26" s="274"/>
      <c r="AH26" s="263" t="str">
        <f>IF(AND('Mapa final'!$H$15="Media",'Mapa final'!$L$15="Catastrófico"),CONCATENATE("R",'Mapa final'!$A$15),"")</f>
        <v/>
      </c>
      <c r="AI26" s="264"/>
      <c r="AJ26" s="264" t="str">
        <f>IF(AND('Mapa final'!$H$16="Media",'Mapa final'!$L$16="Catastrófico"),CONCATENATE("R",'Mapa final'!$A$16),"")</f>
        <v/>
      </c>
      <c r="AK26" s="264"/>
      <c r="AL26" s="264" t="str">
        <f>IF(AND('Mapa final'!$H$22="Media",'Mapa final'!$L$22="Catastrófico"),CONCATENATE("R",'Mapa final'!$A$22),"")</f>
        <v/>
      </c>
      <c r="AM26" s="265"/>
      <c r="AN26" s="83"/>
      <c r="AO26" s="315"/>
      <c r="AP26" s="316"/>
      <c r="AQ26" s="316"/>
      <c r="AR26" s="316"/>
      <c r="AS26" s="316"/>
      <c r="AT26" s="317"/>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92"/>
      <c r="C27" s="292"/>
      <c r="D27" s="293"/>
      <c r="E27" s="285"/>
      <c r="F27" s="286"/>
      <c r="G27" s="286"/>
      <c r="H27" s="286"/>
      <c r="I27" s="287"/>
      <c r="J27" s="254"/>
      <c r="K27" s="255"/>
      <c r="L27" s="255"/>
      <c r="M27" s="255"/>
      <c r="N27" s="255"/>
      <c r="O27" s="256"/>
      <c r="P27" s="254"/>
      <c r="Q27" s="255"/>
      <c r="R27" s="255"/>
      <c r="S27" s="255"/>
      <c r="T27" s="255"/>
      <c r="U27" s="256"/>
      <c r="V27" s="254"/>
      <c r="W27" s="255"/>
      <c r="X27" s="255"/>
      <c r="Y27" s="255"/>
      <c r="Z27" s="255"/>
      <c r="AA27" s="256"/>
      <c r="AB27" s="272"/>
      <c r="AC27" s="273"/>
      <c r="AD27" s="273"/>
      <c r="AE27" s="273"/>
      <c r="AF27" s="273"/>
      <c r="AG27" s="274"/>
      <c r="AH27" s="263"/>
      <c r="AI27" s="264"/>
      <c r="AJ27" s="264"/>
      <c r="AK27" s="264"/>
      <c r="AL27" s="264"/>
      <c r="AM27" s="265"/>
      <c r="AN27" s="83"/>
      <c r="AO27" s="315"/>
      <c r="AP27" s="316"/>
      <c r="AQ27" s="316"/>
      <c r="AR27" s="316"/>
      <c r="AS27" s="316"/>
      <c r="AT27" s="31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92"/>
      <c r="C28" s="292"/>
      <c r="D28" s="293"/>
      <c r="E28" s="285"/>
      <c r="F28" s="286"/>
      <c r="G28" s="286"/>
      <c r="H28" s="286"/>
      <c r="I28" s="287"/>
      <c r="J28" s="254" t="str">
        <f>IF(AND('Mapa final'!$H$28="Media",'Mapa final'!$L$28="Leve"),CONCATENATE("R",'Mapa final'!$A$28),"")</f>
        <v/>
      </c>
      <c r="K28" s="255"/>
      <c r="L28" s="255" t="str">
        <f>IF(AND('Mapa final'!$H$34="Media",'Mapa final'!$L$34="Leve"),CONCATENATE("R",'Mapa final'!$A$34),"")</f>
        <v/>
      </c>
      <c r="M28" s="255"/>
      <c r="N28" s="255" t="str">
        <f>IF(AND('Mapa final'!$H$40="Media",'Mapa final'!$L$40="Leve"),CONCATENATE("R",'Mapa final'!$A$40),"")</f>
        <v/>
      </c>
      <c r="O28" s="256"/>
      <c r="P28" s="254" t="str">
        <f>IF(AND('Mapa final'!$H$28="Media",'Mapa final'!$L$28="Menor"),CONCATENATE("R",'Mapa final'!$A$28),"")</f>
        <v/>
      </c>
      <c r="Q28" s="255"/>
      <c r="R28" s="255" t="str">
        <f>IF(AND('Mapa final'!$H$34="Media",'Mapa final'!$L$34="Menor"),CONCATENATE("R",'Mapa final'!$A$34),"")</f>
        <v/>
      </c>
      <c r="S28" s="255"/>
      <c r="T28" s="255" t="str">
        <f>IF(AND('Mapa final'!$H$40="Media",'Mapa final'!$L$40="Menor"),CONCATENATE("R",'Mapa final'!$A$40),"")</f>
        <v/>
      </c>
      <c r="U28" s="256"/>
      <c r="V28" s="254" t="str">
        <f>IF(AND('Mapa final'!$H$28="Media",'Mapa final'!$L$28="Moderado"),CONCATENATE("R",'Mapa final'!$A$28),"")</f>
        <v/>
      </c>
      <c r="W28" s="255"/>
      <c r="X28" s="255" t="str">
        <f>IF(AND('Mapa final'!$H$34="Media",'Mapa final'!$L$34="Moderado"),CONCATENATE("R",'Mapa final'!$A$34),"")</f>
        <v/>
      </c>
      <c r="Y28" s="255"/>
      <c r="Z28" s="255" t="str">
        <f>IF(AND('Mapa final'!$H$40="Media",'Mapa final'!$L$40="Moderado"),CONCATENATE("R",'Mapa final'!$A$40),"")</f>
        <v/>
      </c>
      <c r="AA28" s="256"/>
      <c r="AB28" s="272" t="str">
        <f>IF(AND('Mapa final'!$H$28="Media",'Mapa final'!$L$28="Mayor"),CONCATENATE("R",'Mapa final'!$A$28),"")</f>
        <v/>
      </c>
      <c r="AC28" s="273"/>
      <c r="AD28" s="273" t="str">
        <f>IF(AND('Mapa final'!$H$34="Media",'Mapa final'!$L$34="Mayor"),CONCATENATE("R",'Mapa final'!$A$34),"")</f>
        <v/>
      </c>
      <c r="AE28" s="273"/>
      <c r="AF28" s="273" t="str">
        <f>IF(AND('Mapa final'!$H$40="Media",'Mapa final'!$L$40="Mayor"),CONCATENATE("R",'Mapa final'!$A$40),"")</f>
        <v/>
      </c>
      <c r="AG28" s="274"/>
      <c r="AH28" s="263" t="str">
        <f>IF(AND('Mapa final'!$H$28="Media",'Mapa final'!$L$28="Catastrófico"),CONCATENATE("R",'Mapa final'!$A$28),"")</f>
        <v/>
      </c>
      <c r="AI28" s="264"/>
      <c r="AJ28" s="264" t="str">
        <f>IF(AND('Mapa final'!$H$34="Media",'Mapa final'!$L$34="Catastrófico"),CONCATENATE("R",'Mapa final'!$A$34),"")</f>
        <v/>
      </c>
      <c r="AK28" s="264"/>
      <c r="AL28" s="264" t="str">
        <f>IF(AND('Mapa final'!$H$40="Media",'Mapa final'!$L$40="Catastrófico"),CONCATENATE("R",'Mapa final'!$A$40),"")</f>
        <v/>
      </c>
      <c r="AM28" s="265"/>
      <c r="AN28" s="83"/>
      <c r="AO28" s="315"/>
      <c r="AP28" s="316"/>
      <c r="AQ28" s="316"/>
      <c r="AR28" s="316"/>
      <c r="AS28" s="316"/>
      <c r="AT28" s="31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92"/>
      <c r="C29" s="292"/>
      <c r="D29" s="293"/>
      <c r="E29" s="288"/>
      <c r="F29" s="289"/>
      <c r="G29" s="289"/>
      <c r="H29" s="289"/>
      <c r="I29" s="290"/>
      <c r="J29" s="254"/>
      <c r="K29" s="255"/>
      <c r="L29" s="255"/>
      <c r="M29" s="255"/>
      <c r="N29" s="255"/>
      <c r="O29" s="256"/>
      <c r="P29" s="257"/>
      <c r="Q29" s="258"/>
      <c r="R29" s="258"/>
      <c r="S29" s="258"/>
      <c r="T29" s="258"/>
      <c r="U29" s="259"/>
      <c r="V29" s="257"/>
      <c r="W29" s="258"/>
      <c r="X29" s="258"/>
      <c r="Y29" s="258"/>
      <c r="Z29" s="258"/>
      <c r="AA29" s="259"/>
      <c r="AB29" s="275"/>
      <c r="AC29" s="276"/>
      <c r="AD29" s="276"/>
      <c r="AE29" s="276"/>
      <c r="AF29" s="276"/>
      <c r="AG29" s="277"/>
      <c r="AH29" s="266"/>
      <c r="AI29" s="267"/>
      <c r="AJ29" s="267"/>
      <c r="AK29" s="267"/>
      <c r="AL29" s="267"/>
      <c r="AM29" s="268"/>
      <c r="AN29" s="83"/>
      <c r="AO29" s="318"/>
      <c r="AP29" s="319"/>
      <c r="AQ29" s="319"/>
      <c r="AR29" s="319"/>
      <c r="AS29" s="319"/>
      <c r="AT29" s="320"/>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92"/>
      <c r="C30" s="292"/>
      <c r="D30" s="293"/>
      <c r="E30" s="282" t="s">
        <v>114</v>
      </c>
      <c r="F30" s="283"/>
      <c r="G30" s="283"/>
      <c r="H30" s="283"/>
      <c r="I30" s="283"/>
      <c r="J30" s="251" t="str">
        <f>IF(AND('Mapa final'!$H$10="Baja",'Mapa final'!$L$10="Leve"),CONCATENATE("R",'Mapa final'!$A$10),"")</f>
        <v/>
      </c>
      <c r="K30" s="252"/>
      <c r="L30" s="252" t="e">
        <f>IF(AND('Mapa final'!#REF!="Baja",'Mapa final'!#REF!="Leve"),CONCATENATE("R",'Mapa final'!#REF!),"")</f>
        <v>#REF!</v>
      </c>
      <c r="M30" s="252"/>
      <c r="N30" s="252" t="str">
        <f>IF(AND('Mapa final'!$H$11="Baja",'Mapa final'!$L$11="Leve"),CONCATENATE("R",'Mapa final'!$A$11),"")</f>
        <v/>
      </c>
      <c r="O30" s="253"/>
      <c r="P30" s="261" t="str">
        <f>IF(AND('Mapa final'!$H$10="Baja",'Mapa final'!$L$10="Menor"),CONCATENATE("R",'Mapa final'!$A$10),"")</f>
        <v/>
      </c>
      <c r="Q30" s="261"/>
      <c r="R30" s="261" t="e">
        <f>IF(AND('Mapa final'!#REF!="Baja",'Mapa final'!#REF!="Menor"),CONCATENATE("R",'Mapa final'!#REF!),"")</f>
        <v>#REF!</v>
      </c>
      <c r="S30" s="261"/>
      <c r="T30" s="261" t="str">
        <f>IF(AND('Mapa final'!$H$11="Baja",'Mapa final'!$L$11="Menor"),CONCATENATE("R",'Mapa final'!$A$11),"")</f>
        <v/>
      </c>
      <c r="U30" s="262"/>
      <c r="V30" s="260" t="str">
        <f>IF(AND('Mapa final'!$H$10="Baja",'Mapa final'!$L$10="Moderado"),CONCATENATE("R",'Mapa final'!$A$10),"")</f>
        <v/>
      </c>
      <c r="W30" s="261"/>
      <c r="X30" s="261" t="e">
        <f>IF(AND('Mapa final'!#REF!="Baja",'Mapa final'!#REF!="Moderado"),CONCATENATE("R",'Mapa final'!#REF!),"")</f>
        <v>#REF!</v>
      </c>
      <c r="Y30" s="261"/>
      <c r="Z30" s="261" t="str">
        <f>IF(AND('Mapa final'!$H$11="Baja",'Mapa final'!$L$11="Moderado"),CONCATENATE("R",'Mapa final'!$A$11),"")</f>
        <v/>
      </c>
      <c r="AA30" s="262"/>
      <c r="AB30" s="278" t="str">
        <f>IF(AND('Mapa final'!$H$10="Baja",'Mapa final'!$L$10="Mayor"),CONCATENATE("R",'Mapa final'!$A$10),"")</f>
        <v/>
      </c>
      <c r="AC30" s="279"/>
      <c r="AD30" s="279" t="e">
        <f>IF(AND('Mapa final'!#REF!="Baja",'Mapa final'!#REF!="Mayor"),CONCATENATE("R",'Mapa final'!#REF!),"")</f>
        <v>#REF!</v>
      </c>
      <c r="AE30" s="279"/>
      <c r="AF30" s="279" t="str">
        <f>IF(AND('Mapa final'!$H$11="Baja",'Mapa final'!$L$11="Mayor"),CONCATENATE("R",'Mapa final'!$A$11),"")</f>
        <v/>
      </c>
      <c r="AG30" s="280"/>
      <c r="AH30" s="269" t="str">
        <f>IF(AND('Mapa final'!$H$10="Baja",'Mapa final'!$L$10="Catastrófico"),CONCATENATE("R",'Mapa final'!$A$10),"")</f>
        <v/>
      </c>
      <c r="AI30" s="270"/>
      <c r="AJ30" s="270" t="e">
        <f>IF(AND('Mapa final'!#REF!="Baja",'Mapa final'!#REF!="Catastrófico"),CONCATENATE("R",'Mapa final'!#REF!),"")</f>
        <v>#REF!</v>
      </c>
      <c r="AK30" s="270"/>
      <c r="AL30" s="270" t="str">
        <f>IF(AND('Mapa final'!$H$11="Baja",'Mapa final'!$L$11="Catastrófico"),CONCATENATE("R",'Mapa final'!$A$11),"")</f>
        <v/>
      </c>
      <c r="AM30" s="271"/>
      <c r="AN30" s="83"/>
      <c r="AO30" s="321" t="s">
        <v>82</v>
      </c>
      <c r="AP30" s="322"/>
      <c r="AQ30" s="322"/>
      <c r="AR30" s="322"/>
      <c r="AS30" s="322"/>
      <c r="AT30" s="32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92"/>
      <c r="C31" s="292"/>
      <c r="D31" s="293"/>
      <c r="E31" s="285"/>
      <c r="F31" s="286"/>
      <c r="G31" s="286"/>
      <c r="H31" s="286"/>
      <c r="I31" s="286"/>
      <c r="J31" s="245"/>
      <c r="K31" s="246"/>
      <c r="L31" s="246"/>
      <c r="M31" s="246"/>
      <c r="N31" s="246"/>
      <c r="O31" s="247"/>
      <c r="P31" s="255"/>
      <c r="Q31" s="255"/>
      <c r="R31" s="255"/>
      <c r="S31" s="255"/>
      <c r="T31" s="255"/>
      <c r="U31" s="256"/>
      <c r="V31" s="254"/>
      <c r="W31" s="255"/>
      <c r="X31" s="255"/>
      <c r="Y31" s="255"/>
      <c r="Z31" s="255"/>
      <c r="AA31" s="256"/>
      <c r="AB31" s="272"/>
      <c r="AC31" s="273"/>
      <c r="AD31" s="273"/>
      <c r="AE31" s="273"/>
      <c r="AF31" s="273"/>
      <c r="AG31" s="274"/>
      <c r="AH31" s="263"/>
      <c r="AI31" s="264"/>
      <c r="AJ31" s="264"/>
      <c r="AK31" s="264"/>
      <c r="AL31" s="264"/>
      <c r="AM31" s="265"/>
      <c r="AN31" s="83"/>
      <c r="AO31" s="324"/>
      <c r="AP31" s="325"/>
      <c r="AQ31" s="325"/>
      <c r="AR31" s="325"/>
      <c r="AS31" s="325"/>
      <c r="AT31" s="32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92"/>
      <c r="C32" s="292"/>
      <c r="D32" s="293"/>
      <c r="E32" s="285"/>
      <c r="F32" s="286"/>
      <c r="G32" s="286"/>
      <c r="H32" s="286"/>
      <c r="I32" s="286"/>
      <c r="J32" s="245" t="str">
        <f>IF(AND('Mapa final'!$H$12="Baja",'Mapa final'!$L$12="Leve"),CONCATENATE("R",'Mapa final'!$A$12),"")</f>
        <v/>
      </c>
      <c r="K32" s="246"/>
      <c r="L32" s="246" t="str">
        <f>IF(AND('Mapa final'!$H$13="Baja",'Mapa final'!$L$13="Leve"),CONCATENATE("R",'Mapa final'!$A$13),"")</f>
        <v/>
      </c>
      <c r="M32" s="246"/>
      <c r="N32" s="246" t="str">
        <f>IF(AND('Mapa final'!$H$14="Baja",'Mapa final'!$L$14="Leve"),CONCATENATE("R",'Mapa final'!$A$14),"")</f>
        <v/>
      </c>
      <c r="O32" s="247"/>
      <c r="P32" s="255" t="str">
        <f>IF(AND('Mapa final'!$H$12="Baja",'Mapa final'!$L$12="Menor"),CONCATENATE("R",'Mapa final'!$A$12),"")</f>
        <v/>
      </c>
      <c r="Q32" s="255"/>
      <c r="R32" s="255" t="str">
        <f>IF(AND('Mapa final'!$H$13="Baja",'Mapa final'!$L$13="Menor"),CONCATENATE("R",'Mapa final'!$A$13),"")</f>
        <v/>
      </c>
      <c r="S32" s="255"/>
      <c r="T32" s="255" t="str">
        <f>IF(AND('Mapa final'!$H$14="Baja",'Mapa final'!$L$14="Menor"),CONCATENATE("R",'Mapa final'!$A$14),"")</f>
        <v/>
      </c>
      <c r="U32" s="256"/>
      <c r="V32" s="254" t="str">
        <f>IF(AND('Mapa final'!$H$12="Baja",'Mapa final'!$L$12="Moderado"),CONCATENATE("R",'Mapa final'!$A$12),"")</f>
        <v/>
      </c>
      <c r="W32" s="255"/>
      <c r="X32" s="255" t="str">
        <f>IF(AND('Mapa final'!$H$13="Baja",'Mapa final'!$L$13="Moderado"),CONCATENATE("R",'Mapa final'!$A$13),"")</f>
        <v/>
      </c>
      <c r="Y32" s="255"/>
      <c r="Z32" s="255" t="str">
        <f>IF(AND('Mapa final'!$H$14="Baja",'Mapa final'!$L$14="Moderado"),CONCATENATE("R",'Mapa final'!$A$14),"")</f>
        <v/>
      </c>
      <c r="AA32" s="256"/>
      <c r="AB32" s="272" t="str">
        <f>IF(AND('Mapa final'!$H$12="Baja",'Mapa final'!$L$12="Mayor"),CONCATENATE("R",'Mapa final'!$A$12),"")</f>
        <v/>
      </c>
      <c r="AC32" s="273"/>
      <c r="AD32" s="273" t="str">
        <f>IF(AND('Mapa final'!$H$13="Baja",'Mapa final'!$L$13="Mayor"),CONCATENATE("R",'Mapa final'!$A$13),"")</f>
        <v/>
      </c>
      <c r="AE32" s="273"/>
      <c r="AF32" s="273" t="str">
        <f>IF(AND('Mapa final'!$H$14="Baja",'Mapa final'!$L$14="Mayor"),CONCATENATE("R",'Mapa final'!$A$14),"")</f>
        <v/>
      </c>
      <c r="AG32" s="274"/>
      <c r="AH32" s="263" t="str">
        <f>IF(AND('Mapa final'!$H$12="Baja",'Mapa final'!$L$12="Catastrófico"),CONCATENATE("R",'Mapa final'!$A$12),"")</f>
        <v/>
      </c>
      <c r="AI32" s="264"/>
      <c r="AJ32" s="264" t="str">
        <f>IF(AND('Mapa final'!$H$13="Baja",'Mapa final'!$L$13="Catastrófico"),CONCATENATE("R",'Mapa final'!$A$13),"")</f>
        <v/>
      </c>
      <c r="AK32" s="264"/>
      <c r="AL32" s="264" t="str">
        <f>IF(AND('Mapa final'!$H$14="Baja",'Mapa final'!$L$14="Catastrófico"),CONCATENATE("R",'Mapa final'!$A$14),"")</f>
        <v/>
      </c>
      <c r="AM32" s="265"/>
      <c r="AN32" s="83"/>
      <c r="AO32" s="324"/>
      <c r="AP32" s="325"/>
      <c r="AQ32" s="325"/>
      <c r="AR32" s="325"/>
      <c r="AS32" s="325"/>
      <c r="AT32" s="32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92"/>
      <c r="C33" s="292"/>
      <c r="D33" s="293"/>
      <c r="E33" s="285"/>
      <c r="F33" s="286"/>
      <c r="G33" s="286"/>
      <c r="H33" s="286"/>
      <c r="I33" s="286"/>
      <c r="J33" s="245"/>
      <c r="K33" s="246"/>
      <c r="L33" s="246"/>
      <c r="M33" s="246"/>
      <c r="N33" s="246"/>
      <c r="O33" s="247"/>
      <c r="P33" s="255"/>
      <c r="Q33" s="255"/>
      <c r="R33" s="255"/>
      <c r="S33" s="255"/>
      <c r="T33" s="255"/>
      <c r="U33" s="256"/>
      <c r="V33" s="254"/>
      <c r="W33" s="255"/>
      <c r="X33" s="255"/>
      <c r="Y33" s="255"/>
      <c r="Z33" s="255"/>
      <c r="AA33" s="256"/>
      <c r="AB33" s="272"/>
      <c r="AC33" s="273"/>
      <c r="AD33" s="273"/>
      <c r="AE33" s="273"/>
      <c r="AF33" s="273"/>
      <c r="AG33" s="274"/>
      <c r="AH33" s="263"/>
      <c r="AI33" s="264"/>
      <c r="AJ33" s="264"/>
      <c r="AK33" s="264"/>
      <c r="AL33" s="264"/>
      <c r="AM33" s="265"/>
      <c r="AN33" s="83"/>
      <c r="AO33" s="324"/>
      <c r="AP33" s="325"/>
      <c r="AQ33" s="325"/>
      <c r="AR33" s="325"/>
      <c r="AS33" s="325"/>
      <c r="AT33" s="32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92"/>
      <c r="C34" s="292"/>
      <c r="D34" s="293"/>
      <c r="E34" s="285"/>
      <c r="F34" s="286"/>
      <c r="G34" s="286"/>
      <c r="H34" s="286"/>
      <c r="I34" s="286"/>
      <c r="J34" s="245" t="str">
        <f>IF(AND('Mapa final'!$H$15="Baja",'Mapa final'!$L$15="Leve"),CONCATENATE("R",'Mapa final'!$A$15),"")</f>
        <v/>
      </c>
      <c r="K34" s="246"/>
      <c r="L34" s="246" t="str">
        <f>IF(AND('Mapa final'!$H$16="Baja",'Mapa final'!$L$16="Leve"),CONCATENATE("R",'Mapa final'!$A$16),"")</f>
        <v/>
      </c>
      <c r="M34" s="246"/>
      <c r="N34" s="246" t="str">
        <f>IF(AND('Mapa final'!$H$22="Baja",'Mapa final'!$L$22="Leve"),CONCATENATE("R",'Mapa final'!$A$22),"")</f>
        <v/>
      </c>
      <c r="O34" s="247"/>
      <c r="P34" s="255" t="str">
        <f>IF(AND('Mapa final'!$H$15="Baja",'Mapa final'!$L$15="Menor"),CONCATENATE("R",'Mapa final'!$A$15),"")</f>
        <v/>
      </c>
      <c r="Q34" s="255"/>
      <c r="R34" s="255" t="str">
        <f>IF(AND('Mapa final'!$H$16="Baja",'Mapa final'!$L$16="Menor"),CONCATENATE("R",'Mapa final'!$A$16),"")</f>
        <v/>
      </c>
      <c r="S34" s="255"/>
      <c r="T34" s="255" t="str">
        <f>IF(AND('Mapa final'!$H$22="Baja",'Mapa final'!$L$22="Menor"),CONCATENATE("R",'Mapa final'!$A$22),"")</f>
        <v/>
      </c>
      <c r="U34" s="256"/>
      <c r="V34" s="254" t="str">
        <f>IF(AND('Mapa final'!$H$15="Baja",'Mapa final'!$L$15="Moderado"),CONCATENATE("R",'Mapa final'!$A$15),"")</f>
        <v/>
      </c>
      <c r="W34" s="255"/>
      <c r="X34" s="255" t="str">
        <f>IF(AND('Mapa final'!$H$16="Baja",'Mapa final'!$L$16="Moderado"),CONCATENATE("R",'Mapa final'!$A$16),"")</f>
        <v/>
      </c>
      <c r="Y34" s="255"/>
      <c r="Z34" s="255" t="str">
        <f>IF(AND('Mapa final'!$H$22="Baja",'Mapa final'!$L$22="Moderado"),CONCATENATE("R",'Mapa final'!$A$22),"")</f>
        <v/>
      </c>
      <c r="AA34" s="256"/>
      <c r="AB34" s="272" t="str">
        <f>IF(AND('Mapa final'!$H$15="Baja",'Mapa final'!$L$15="Mayor"),CONCATENATE("R",'Mapa final'!$A$15),"")</f>
        <v/>
      </c>
      <c r="AC34" s="273"/>
      <c r="AD34" s="273" t="str">
        <f>IF(AND('Mapa final'!$H$16="Baja",'Mapa final'!$L$16="Mayor"),CONCATENATE("R",'Mapa final'!$A$16),"")</f>
        <v/>
      </c>
      <c r="AE34" s="273"/>
      <c r="AF34" s="273" t="str">
        <f>IF(AND('Mapa final'!$H$22="Baja",'Mapa final'!$L$22="Mayor"),CONCATENATE("R",'Mapa final'!$A$22),"")</f>
        <v/>
      </c>
      <c r="AG34" s="274"/>
      <c r="AH34" s="263" t="str">
        <f>IF(AND('Mapa final'!$H$15="Baja",'Mapa final'!$L$15="Catastrófico"),CONCATENATE("R",'Mapa final'!$A$15),"")</f>
        <v/>
      </c>
      <c r="AI34" s="264"/>
      <c r="AJ34" s="264" t="str">
        <f>IF(AND('Mapa final'!$H$16="Baja",'Mapa final'!$L$16="Catastrófico"),CONCATENATE("R",'Mapa final'!$A$16),"")</f>
        <v/>
      </c>
      <c r="AK34" s="264"/>
      <c r="AL34" s="264" t="str">
        <f>IF(AND('Mapa final'!$H$22="Baja",'Mapa final'!$L$22="Catastrófico"),CONCATENATE("R",'Mapa final'!$A$22),"")</f>
        <v/>
      </c>
      <c r="AM34" s="265"/>
      <c r="AN34" s="83"/>
      <c r="AO34" s="324"/>
      <c r="AP34" s="325"/>
      <c r="AQ34" s="325"/>
      <c r="AR34" s="325"/>
      <c r="AS34" s="325"/>
      <c r="AT34" s="32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92"/>
      <c r="C35" s="292"/>
      <c r="D35" s="293"/>
      <c r="E35" s="285"/>
      <c r="F35" s="286"/>
      <c r="G35" s="286"/>
      <c r="H35" s="286"/>
      <c r="I35" s="286"/>
      <c r="J35" s="245"/>
      <c r="K35" s="246"/>
      <c r="L35" s="246"/>
      <c r="M35" s="246"/>
      <c r="N35" s="246"/>
      <c r="O35" s="247"/>
      <c r="P35" s="255"/>
      <c r="Q35" s="255"/>
      <c r="R35" s="255"/>
      <c r="S35" s="255"/>
      <c r="T35" s="255"/>
      <c r="U35" s="256"/>
      <c r="V35" s="254"/>
      <c r="W35" s="255"/>
      <c r="X35" s="255"/>
      <c r="Y35" s="255"/>
      <c r="Z35" s="255"/>
      <c r="AA35" s="256"/>
      <c r="AB35" s="272"/>
      <c r="AC35" s="273"/>
      <c r="AD35" s="273"/>
      <c r="AE35" s="273"/>
      <c r="AF35" s="273"/>
      <c r="AG35" s="274"/>
      <c r="AH35" s="263"/>
      <c r="AI35" s="264"/>
      <c r="AJ35" s="264"/>
      <c r="AK35" s="264"/>
      <c r="AL35" s="264"/>
      <c r="AM35" s="265"/>
      <c r="AN35" s="83"/>
      <c r="AO35" s="324"/>
      <c r="AP35" s="325"/>
      <c r="AQ35" s="325"/>
      <c r="AR35" s="325"/>
      <c r="AS35" s="325"/>
      <c r="AT35" s="326"/>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92"/>
      <c r="C36" s="292"/>
      <c r="D36" s="293"/>
      <c r="E36" s="285"/>
      <c r="F36" s="286"/>
      <c r="G36" s="286"/>
      <c r="H36" s="286"/>
      <c r="I36" s="286"/>
      <c r="J36" s="245" t="str">
        <f>IF(AND('Mapa final'!$H$28="Baja",'Mapa final'!$L$28="Leve"),CONCATENATE("R",'Mapa final'!$A$28),"")</f>
        <v/>
      </c>
      <c r="K36" s="246"/>
      <c r="L36" s="246" t="str">
        <f>IF(AND('Mapa final'!$H$34="Baja",'Mapa final'!$L$34="Leve"),CONCATENATE("R",'Mapa final'!$A$34),"")</f>
        <v/>
      </c>
      <c r="M36" s="246"/>
      <c r="N36" s="246" t="str">
        <f>IF(AND('Mapa final'!$H$40="Baja",'Mapa final'!$L$40="Leve"),CONCATENATE("R",'Mapa final'!$A$40),"")</f>
        <v/>
      </c>
      <c r="O36" s="247"/>
      <c r="P36" s="255" t="str">
        <f>IF(AND('Mapa final'!$H$28="Baja",'Mapa final'!$L$28="Menor"),CONCATENATE("R",'Mapa final'!$A$28),"")</f>
        <v/>
      </c>
      <c r="Q36" s="255"/>
      <c r="R36" s="255" t="str">
        <f>IF(AND('Mapa final'!$H$34="Baja",'Mapa final'!$L$34="Menor"),CONCATENATE("R",'Mapa final'!$A$34),"")</f>
        <v/>
      </c>
      <c r="S36" s="255"/>
      <c r="T36" s="255" t="str">
        <f>IF(AND('Mapa final'!$H$40="Baja",'Mapa final'!$L$40="Menor"),CONCATENATE("R",'Mapa final'!$A$40),"")</f>
        <v/>
      </c>
      <c r="U36" s="256"/>
      <c r="V36" s="254" t="str">
        <f>IF(AND('Mapa final'!$H$28="Baja",'Mapa final'!$L$28="Moderado"),CONCATENATE("R",'Mapa final'!$A$28),"")</f>
        <v/>
      </c>
      <c r="W36" s="255"/>
      <c r="X36" s="255" t="str">
        <f>IF(AND('Mapa final'!$H$34="Baja",'Mapa final'!$L$34="Moderado"),CONCATENATE("R",'Mapa final'!$A$34),"")</f>
        <v/>
      </c>
      <c r="Y36" s="255"/>
      <c r="Z36" s="255" t="str">
        <f>IF(AND('Mapa final'!$H$40="Baja",'Mapa final'!$L$40="Moderado"),CONCATENATE("R",'Mapa final'!$A$40),"")</f>
        <v/>
      </c>
      <c r="AA36" s="256"/>
      <c r="AB36" s="272" t="str">
        <f>IF(AND('Mapa final'!$H$28="Baja",'Mapa final'!$L$28="Mayor"),CONCATENATE("R",'Mapa final'!$A$28),"")</f>
        <v/>
      </c>
      <c r="AC36" s="273"/>
      <c r="AD36" s="273" t="str">
        <f>IF(AND('Mapa final'!$H$34="Baja",'Mapa final'!$L$34="Mayor"),CONCATENATE("R",'Mapa final'!$A$34),"")</f>
        <v/>
      </c>
      <c r="AE36" s="273"/>
      <c r="AF36" s="273" t="str">
        <f>IF(AND('Mapa final'!$H$40="Baja",'Mapa final'!$L$40="Mayor"),CONCATENATE("R",'Mapa final'!$A$40),"")</f>
        <v/>
      </c>
      <c r="AG36" s="274"/>
      <c r="AH36" s="263" t="str">
        <f>IF(AND('Mapa final'!$H$28="Baja",'Mapa final'!$L$28="Catastrófico"),CONCATENATE("R",'Mapa final'!$A$28),"")</f>
        <v/>
      </c>
      <c r="AI36" s="264"/>
      <c r="AJ36" s="264" t="str">
        <f>IF(AND('Mapa final'!$H$34="Baja",'Mapa final'!$L$34="Catastrófico"),CONCATENATE("R",'Mapa final'!$A$34),"")</f>
        <v/>
      </c>
      <c r="AK36" s="264"/>
      <c r="AL36" s="264" t="str">
        <f>IF(AND('Mapa final'!$H$40="Baja",'Mapa final'!$L$40="Catastrófico"),CONCATENATE("R",'Mapa final'!$A$40),"")</f>
        <v/>
      </c>
      <c r="AM36" s="265"/>
      <c r="AN36" s="83"/>
      <c r="AO36" s="324"/>
      <c r="AP36" s="325"/>
      <c r="AQ36" s="325"/>
      <c r="AR36" s="325"/>
      <c r="AS36" s="325"/>
      <c r="AT36" s="32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92"/>
      <c r="C37" s="292"/>
      <c r="D37" s="293"/>
      <c r="E37" s="288"/>
      <c r="F37" s="289"/>
      <c r="G37" s="289"/>
      <c r="H37" s="289"/>
      <c r="I37" s="289"/>
      <c r="J37" s="248"/>
      <c r="K37" s="249"/>
      <c r="L37" s="249"/>
      <c r="M37" s="249"/>
      <c r="N37" s="249"/>
      <c r="O37" s="250"/>
      <c r="P37" s="258"/>
      <c r="Q37" s="258"/>
      <c r="R37" s="258"/>
      <c r="S37" s="258"/>
      <c r="T37" s="258"/>
      <c r="U37" s="259"/>
      <c r="V37" s="257"/>
      <c r="W37" s="258"/>
      <c r="X37" s="258"/>
      <c r="Y37" s="258"/>
      <c r="Z37" s="258"/>
      <c r="AA37" s="259"/>
      <c r="AB37" s="275"/>
      <c r="AC37" s="276"/>
      <c r="AD37" s="276"/>
      <c r="AE37" s="276"/>
      <c r="AF37" s="276"/>
      <c r="AG37" s="277"/>
      <c r="AH37" s="266"/>
      <c r="AI37" s="267"/>
      <c r="AJ37" s="267"/>
      <c r="AK37" s="267"/>
      <c r="AL37" s="267"/>
      <c r="AM37" s="268"/>
      <c r="AN37" s="83"/>
      <c r="AO37" s="327"/>
      <c r="AP37" s="328"/>
      <c r="AQ37" s="328"/>
      <c r="AR37" s="328"/>
      <c r="AS37" s="328"/>
      <c r="AT37" s="32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92"/>
      <c r="C38" s="292"/>
      <c r="D38" s="293"/>
      <c r="E38" s="282" t="s">
        <v>113</v>
      </c>
      <c r="F38" s="283"/>
      <c r="G38" s="283"/>
      <c r="H38" s="283"/>
      <c r="I38" s="284"/>
      <c r="J38" s="251" t="str">
        <f>IF(AND('Mapa final'!$H$10="Muy Baja",'Mapa final'!$L$10="Leve"),CONCATENATE("R",'Mapa final'!$A$10),"")</f>
        <v/>
      </c>
      <c r="K38" s="252"/>
      <c r="L38" s="252" t="e">
        <f>IF(AND('Mapa final'!#REF!="Muy Baja",'Mapa final'!#REF!="Leve"),CONCATENATE("R",'Mapa final'!#REF!),"")</f>
        <v>#REF!</v>
      </c>
      <c r="M38" s="252"/>
      <c r="N38" s="252" t="str">
        <f>IF(AND('Mapa final'!$H$11="Muy Baja",'Mapa final'!$L$11="Leve"),CONCATENATE("R",'Mapa final'!$A$11),"")</f>
        <v/>
      </c>
      <c r="O38" s="253"/>
      <c r="P38" s="251" t="str">
        <f>IF(AND('Mapa final'!$H$10="Muy Baja",'Mapa final'!$L$10="Menor"),CONCATENATE("R",'Mapa final'!$A$10),"")</f>
        <v/>
      </c>
      <c r="Q38" s="252"/>
      <c r="R38" s="252" t="e">
        <f>IF(AND('Mapa final'!#REF!="Muy Baja",'Mapa final'!#REF!="Menor"),CONCATENATE("R",'Mapa final'!#REF!),"")</f>
        <v>#REF!</v>
      </c>
      <c r="S38" s="252"/>
      <c r="T38" s="252" t="str">
        <f>IF(AND('Mapa final'!$H$11="Muy Baja",'Mapa final'!$L$11="Menor"),CONCATENATE("R",'Mapa final'!$A$11),"")</f>
        <v/>
      </c>
      <c r="U38" s="253"/>
      <c r="V38" s="260" t="str">
        <f>IF(AND('Mapa final'!$H$10="Muy Baja",'Mapa final'!$L$10="Moderado"),CONCATENATE("R",'Mapa final'!$A$10),"")</f>
        <v/>
      </c>
      <c r="W38" s="261"/>
      <c r="X38" s="261" t="e">
        <f>IF(AND('Mapa final'!#REF!="Muy Baja",'Mapa final'!#REF!="Moderado"),CONCATENATE("R",'Mapa final'!#REF!),"")</f>
        <v>#REF!</v>
      </c>
      <c r="Y38" s="261"/>
      <c r="Z38" s="261" t="str">
        <f>IF(AND('Mapa final'!$H$11="Muy Baja",'Mapa final'!$L$11="Moderado"),CONCATENATE("R",'Mapa final'!$A$11),"")</f>
        <v/>
      </c>
      <c r="AA38" s="262"/>
      <c r="AB38" s="278" t="str">
        <f>IF(AND('Mapa final'!$H$10="Muy Baja",'Mapa final'!$L$10="Mayor"),CONCATENATE("R",'Mapa final'!$A$10),"")</f>
        <v/>
      </c>
      <c r="AC38" s="279"/>
      <c r="AD38" s="279" t="e">
        <f>IF(AND('Mapa final'!#REF!="Muy Baja",'Mapa final'!#REF!="Mayor"),CONCATENATE("R",'Mapa final'!#REF!),"")</f>
        <v>#REF!</v>
      </c>
      <c r="AE38" s="279"/>
      <c r="AF38" s="279" t="str">
        <f>IF(AND('Mapa final'!$H$11="Muy Baja",'Mapa final'!$L$11="Mayor"),CONCATENATE("R",'Mapa final'!$A$11),"")</f>
        <v/>
      </c>
      <c r="AG38" s="280"/>
      <c r="AH38" s="269" t="str">
        <f>IF(AND('Mapa final'!$H$10="Muy Baja",'Mapa final'!$L$10="Catastrófico"),CONCATENATE("R",'Mapa final'!$A$10),"")</f>
        <v/>
      </c>
      <c r="AI38" s="270"/>
      <c r="AJ38" s="270" t="e">
        <f>IF(AND('Mapa final'!#REF!="Muy Baja",'Mapa final'!#REF!="Catastrófico"),CONCATENATE("R",'Mapa final'!#REF!),"")</f>
        <v>#REF!</v>
      </c>
      <c r="AK38" s="270"/>
      <c r="AL38" s="270" t="str">
        <f>IF(AND('Mapa final'!$H$11="Muy Baja",'Mapa final'!$L$11="Catastrófico"),CONCATENATE("R",'Mapa final'!$A$11),"")</f>
        <v/>
      </c>
      <c r="AM38" s="271"/>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92"/>
      <c r="C39" s="292"/>
      <c r="D39" s="293"/>
      <c r="E39" s="285"/>
      <c r="F39" s="286"/>
      <c r="G39" s="286"/>
      <c r="H39" s="286"/>
      <c r="I39" s="287"/>
      <c r="J39" s="245"/>
      <c r="K39" s="246"/>
      <c r="L39" s="246"/>
      <c r="M39" s="246"/>
      <c r="N39" s="246"/>
      <c r="O39" s="247"/>
      <c r="P39" s="245"/>
      <c r="Q39" s="246"/>
      <c r="R39" s="246"/>
      <c r="S39" s="246"/>
      <c r="T39" s="246"/>
      <c r="U39" s="247"/>
      <c r="V39" s="254"/>
      <c r="W39" s="255"/>
      <c r="X39" s="255"/>
      <c r="Y39" s="255"/>
      <c r="Z39" s="255"/>
      <c r="AA39" s="256"/>
      <c r="AB39" s="272"/>
      <c r="AC39" s="273"/>
      <c r="AD39" s="273"/>
      <c r="AE39" s="273"/>
      <c r="AF39" s="273"/>
      <c r="AG39" s="274"/>
      <c r="AH39" s="263"/>
      <c r="AI39" s="264"/>
      <c r="AJ39" s="264"/>
      <c r="AK39" s="264"/>
      <c r="AL39" s="264"/>
      <c r="AM39" s="265"/>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92"/>
      <c r="C40" s="292"/>
      <c r="D40" s="293"/>
      <c r="E40" s="285"/>
      <c r="F40" s="286"/>
      <c r="G40" s="286"/>
      <c r="H40" s="286"/>
      <c r="I40" s="287"/>
      <c r="J40" s="245" t="str">
        <f>IF(AND('Mapa final'!$H$12="Muy Baja",'Mapa final'!$L$12="Leve"),CONCATENATE("R",'Mapa final'!$A$12),"")</f>
        <v/>
      </c>
      <c r="K40" s="246"/>
      <c r="L40" s="246" t="str">
        <f>IF(AND('Mapa final'!$H$13="Muy Baja",'Mapa final'!$L$13="Leve"),CONCATENATE("R",'Mapa final'!$A$13),"")</f>
        <v/>
      </c>
      <c r="M40" s="246"/>
      <c r="N40" s="246" t="str">
        <f>IF(AND('Mapa final'!$H$14="Muy Baja",'Mapa final'!$L$14="Leve"),CONCATENATE("R",'Mapa final'!$A$14),"")</f>
        <v/>
      </c>
      <c r="O40" s="247"/>
      <c r="P40" s="245" t="str">
        <f>IF(AND('Mapa final'!$H$12="Muy Baja",'Mapa final'!$L$12="Menor"),CONCATENATE("R",'Mapa final'!$A$12),"")</f>
        <v/>
      </c>
      <c r="Q40" s="246"/>
      <c r="R40" s="246" t="str">
        <f>IF(AND('Mapa final'!$H$13="Muy Baja",'Mapa final'!$L$13="Menor"),CONCATENATE("R",'Mapa final'!$A$13),"")</f>
        <v/>
      </c>
      <c r="S40" s="246"/>
      <c r="T40" s="246" t="str">
        <f>IF(AND('Mapa final'!$H$14="Muy Baja",'Mapa final'!$L$14="Menor"),CONCATENATE("R",'Mapa final'!$A$14),"")</f>
        <v/>
      </c>
      <c r="U40" s="247"/>
      <c r="V40" s="254" t="str">
        <f>IF(AND('Mapa final'!$H$12="Muy Baja",'Mapa final'!$L$12="Moderado"),CONCATENATE("R",'Mapa final'!$A$12),"")</f>
        <v/>
      </c>
      <c r="W40" s="255"/>
      <c r="X40" s="255" t="str">
        <f>IF(AND('Mapa final'!$H$13="Muy Baja",'Mapa final'!$L$13="Moderado"),CONCATENATE("R",'Mapa final'!$A$13),"")</f>
        <v/>
      </c>
      <c r="Y40" s="255"/>
      <c r="Z40" s="255" t="str">
        <f>IF(AND('Mapa final'!$H$14="Muy Baja",'Mapa final'!$L$14="Moderado"),CONCATENATE("R",'Mapa final'!$A$14),"")</f>
        <v/>
      </c>
      <c r="AA40" s="256"/>
      <c r="AB40" s="272" t="str">
        <f>IF(AND('Mapa final'!$H$12="Muy Baja",'Mapa final'!$L$12="Mayor"),CONCATENATE("R",'Mapa final'!$A$12),"")</f>
        <v/>
      </c>
      <c r="AC40" s="273"/>
      <c r="AD40" s="273" t="str">
        <f>IF(AND('Mapa final'!$H$13="Muy Baja",'Mapa final'!$L$13="Mayor"),CONCATENATE("R",'Mapa final'!$A$13),"")</f>
        <v/>
      </c>
      <c r="AE40" s="273"/>
      <c r="AF40" s="273" t="str">
        <f>IF(AND('Mapa final'!$H$14="Muy Baja",'Mapa final'!$L$14="Mayor"),CONCATENATE("R",'Mapa final'!$A$14),"")</f>
        <v/>
      </c>
      <c r="AG40" s="274"/>
      <c r="AH40" s="263" t="str">
        <f>IF(AND('Mapa final'!$H$12="Muy Baja",'Mapa final'!$L$12="Catastrófico"),CONCATENATE("R",'Mapa final'!$A$12),"")</f>
        <v/>
      </c>
      <c r="AI40" s="264"/>
      <c r="AJ40" s="264" t="str">
        <f>IF(AND('Mapa final'!$H$13="Muy Baja",'Mapa final'!$L$13="Catastrófico"),CONCATENATE("R",'Mapa final'!$A$13),"")</f>
        <v/>
      </c>
      <c r="AK40" s="264"/>
      <c r="AL40" s="264" t="str">
        <f>IF(AND('Mapa final'!$H$14="Muy Baja",'Mapa final'!$L$14="Catastrófico"),CONCATENATE("R",'Mapa final'!$A$14),"")</f>
        <v/>
      </c>
      <c r="AM40" s="265"/>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92"/>
      <c r="C41" s="292"/>
      <c r="D41" s="293"/>
      <c r="E41" s="285"/>
      <c r="F41" s="286"/>
      <c r="G41" s="286"/>
      <c r="H41" s="286"/>
      <c r="I41" s="287"/>
      <c r="J41" s="245"/>
      <c r="K41" s="246"/>
      <c r="L41" s="246"/>
      <c r="M41" s="246"/>
      <c r="N41" s="246"/>
      <c r="O41" s="247"/>
      <c r="P41" s="245"/>
      <c r="Q41" s="246"/>
      <c r="R41" s="246"/>
      <c r="S41" s="246"/>
      <c r="T41" s="246"/>
      <c r="U41" s="247"/>
      <c r="V41" s="254"/>
      <c r="W41" s="255"/>
      <c r="X41" s="255"/>
      <c r="Y41" s="255"/>
      <c r="Z41" s="255"/>
      <c r="AA41" s="256"/>
      <c r="AB41" s="272"/>
      <c r="AC41" s="273"/>
      <c r="AD41" s="273"/>
      <c r="AE41" s="273"/>
      <c r="AF41" s="273"/>
      <c r="AG41" s="274"/>
      <c r="AH41" s="263"/>
      <c r="AI41" s="264"/>
      <c r="AJ41" s="264"/>
      <c r="AK41" s="264"/>
      <c r="AL41" s="264"/>
      <c r="AM41" s="265"/>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92"/>
      <c r="C42" s="292"/>
      <c r="D42" s="293"/>
      <c r="E42" s="285"/>
      <c r="F42" s="286"/>
      <c r="G42" s="286"/>
      <c r="H42" s="286"/>
      <c r="I42" s="287"/>
      <c r="J42" s="245" t="str">
        <f>IF(AND('Mapa final'!$H$15="Muy Baja",'Mapa final'!$L$15="Leve"),CONCATENATE("R",'Mapa final'!$A$15),"")</f>
        <v/>
      </c>
      <c r="K42" s="246"/>
      <c r="L42" s="246" t="str">
        <f>IF(AND('Mapa final'!$H$16="Muy Baja",'Mapa final'!$L$16="Leve"),CONCATENATE("R",'Mapa final'!$A$16),"")</f>
        <v/>
      </c>
      <c r="M42" s="246"/>
      <c r="N42" s="246" t="str">
        <f>IF(AND('Mapa final'!$H$22="Muy Baja",'Mapa final'!$L$22="Leve"),CONCATENATE("R",'Mapa final'!$A$22),"")</f>
        <v/>
      </c>
      <c r="O42" s="247"/>
      <c r="P42" s="245" t="str">
        <f>IF(AND('Mapa final'!$H$15="Muy Baja",'Mapa final'!$L$15="Menor"),CONCATENATE("R",'Mapa final'!$A$15),"")</f>
        <v/>
      </c>
      <c r="Q42" s="246"/>
      <c r="R42" s="246" t="str">
        <f>IF(AND('Mapa final'!$H$16="Muy Baja",'Mapa final'!$L$16="Menor"),CONCATENATE("R",'Mapa final'!$A$16),"")</f>
        <v/>
      </c>
      <c r="S42" s="246"/>
      <c r="T42" s="246" t="str">
        <f>IF(AND('Mapa final'!$H$22="Muy Baja",'Mapa final'!$L$22="Menor"),CONCATENATE("R",'Mapa final'!$A$22),"")</f>
        <v/>
      </c>
      <c r="U42" s="247"/>
      <c r="V42" s="254" t="str">
        <f>IF(AND('Mapa final'!$H$15="Muy Baja",'Mapa final'!$L$15="Moderado"),CONCATENATE("R",'Mapa final'!$A$15),"")</f>
        <v/>
      </c>
      <c r="W42" s="255"/>
      <c r="X42" s="255" t="str">
        <f>IF(AND('Mapa final'!$H$16="Muy Baja",'Mapa final'!$L$16="Moderado"),CONCATENATE("R",'Mapa final'!$A$16),"")</f>
        <v/>
      </c>
      <c r="Y42" s="255"/>
      <c r="Z42" s="255" t="str">
        <f>IF(AND('Mapa final'!$H$22="Muy Baja",'Mapa final'!$L$22="Moderado"),CONCATENATE("R",'Mapa final'!$A$22),"")</f>
        <v/>
      </c>
      <c r="AA42" s="256"/>
      <c r="AB42" s="272" t="str">
        <f>IF(AND('Mapa final'!$H$15="Muy Baja",'Mapa final'!$L$15="Mayor"),CONCATENATE("R",'Mapa final'!$A$15),"")</f>
        <v/>
      </c>
      <c r="AC42" s="273"/>
      <c r="AD42" s="273" t="str">
        <f>IF(AND('Mapa final'!$H$16="Muy Baja",'Mapa final'!$L$16="Mayor"),CONCATENATE("R",'Mapa final'!$A$16),"")</f>
        <v/>
      </c>
      <c r="AE42" s="273"/>
      <c r="AF42" s="273" t="str">
        <f>IF(AND('Mapa final'!$H$22="Muy Baja",'Mapa final'!$L$22="Mayor"),CONCATENATE("R",'Mapa final'!$A$22),"")</f>
        <v/>
      </c>
      <c r="AG42" s="274"/>
      <c r="AH42" s="263" t="str">
        <f>IF(AND('Mapa final'!$H$15="Muy Baja",'Mapa final'!$L$15="Catastrófico"),CONCATENATE("R",'Mapa final'!$A$15),"")</f>
        <v/>
      </c>
      <c r="AI42" s="264"/>
      <c r="AJ42" s="264" t="str">
        <f>IF(AND('Mapa final'!$H$16="Muy Baja",'Mapa final'!$L$16="Catastrófico"),CONCATENATE("R",'Mapa final'!$A$16),"")</f>
        <v/>
      </c>
      <c r="AK42" s="264"/>
      <c r="AL42" s="264" t="str">
        <f>IF(AND('Mapa final'!$H$22="Muy Baja",'Mapa final'!$L$22="Catastrófico"),CONCATENATE("R",'Mapa final'!$A$22),"")</f>
        <v/>
      </c>
      <c r="AM42" s="265"/>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92"/>
      <c r="C43" s="292"/>
      <c r="D43" s="293"/>
      <c r="E43" s="285"/>
      <c r="F43" s="286"/>
      <c r="G43" s="286"/>
      <c r="H43" s="286"/>
      <c r="I43" s="287"/>
      <c r="J43" s="245"/>
      <c r="K43" s="246"/>
      <c r="L43" s="246"/>
      <c r="M43" s="246"/>
      <c r="N43" s="246"/>
      <c r="O43" s="247"/>
      <c r="P43" s="245"/>
      <c r="Q43" s="246"/>
      <c r="R43" s="246"/>
      <c r="S43" s="246"/>
      <c r="T43" s="246"/>
      <c r="U43" s="247"/>
      <c r="V43" s="254"/>
      <c r="W43" s="255"/>
      <c r="X43" s="255"/>
      <c r="Y43" s="255"/>
      <c r="Z43" s="255"/>
      <c r="AA43" s="256"/>
      <c r="AB43" s="272"/>
      <c r="AC43" s="273"/>
      <c r="AD43" s="273"/>
      <c r="AE43" s="273"/>
      <c r="AF43" s="273"/>
      <c r="AG43" s="274"/>
      <c r="AH43" s="263"/>
      <c r="AI43" s="264"/>
      <c r="AJ43" s="264"/>
      <c r="AK43" s="264"/>
      <c r="AL43" s="264"/>
      <c r="AM43" s="265"/>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92"/>
      <c r="C44" s="292"/>
      <c r="D44" s="293"/>
      <c r="E44" s="285"/>
      <c r="F44" s="286"/>
      <c r="G44" s="286"/>
      <c r="H44" s="286"/>
      <c r="I44" s="287"/>
      <c r="J44" s="245" t="str">
        <f>IF(AND('Mapa final'!$H$28="Muy Baja",'Mapa final'!$L$28="Leve"),CONCATENATE("R",'Mapa final'!$A$28),"")</f>
        <v/>
      </c>
      <c r="K44" s="246"/>
      <c r="L44" s="246" t="str">
        <f>IF(AND('Mapa final'!$H$34="Muy Baja",'Mapa final'!$L$34="Leve"),CONCATENATE("R",'Mapa final'!$A$34),"")</f>
        <v/>
      </c>
      <c r="M44" s="246"/>
      <c r="N44" s="246" t="str">
        <f>IF(AND('Mapa final'!$H$40="Muy Baja",'Mapa final'!$L$40="Leve"),CONCATENATE("R",'Mapa final'!$A$40),"")</f>
        <v/>
      </c>
      <c r="O44" s="247"/>
      <c r="P44" s="245" t="str">
        <f>IF(AND('Mapa final'!$H$28="Muy Baja",'Mapa final'!$L$28="Menor"),CONCATENATE("R",'Mapa final'!$A$28),"")</f>
        <v/>
      </c>
      <c r="Q44" s="246"/>
      <c r="R44" s="246" t="str">
        <f>IF(AND('Mapa final'!$H$34="Muy Baja",'Mapa final'!$L$34="Menor"),CONCATENATE("R",'Mapa final'!$A$34),"")</f>
        <v/>
      </c>
      <c r="S44" s="246"/>
      <c r="T44" s="246" t="str">
        <f>IF(AND('Mapa final'!$H$40="Muy Baja",'Mapa final'!$L$40="Menor"),CONCATENATE("R",'Mapa final'!$A$40),"")</f>
        <v/>
      </c>
      <c r="U44" s="247"/>
      <c r="V44" s="254" t="str">
        <f>IF(AND('Mapa final'!$H$28="Muy Baja",'Mapa final'!$L$28="Moderado"),CONCATENATE("R",'Mapa final'!$A$28),"")</f>
        <v/>
      </c>
      <c r="W44" s="255"/>
      <c r="X44" s="255" t="str">
        <f>IF(AND('Mapa final'!$H$34="Muy Baja",'Mapa final'!$L$34="Moderado"),CONCATENATE("R",'Mapa final'!$A$34),"")</f>
        <v/>
      </c>
      <c r="Y44" s="255"/>
      <c r="Z44" s="255" t="str">
        <f>IF(AND('Mapa final'!$H$40="Muy Baja",'Mapa final'!$L$40="Moderado"),CONCATENATE("R",'Mapa final'!$A$40),"")</f>
        <v/>
      </c>
      <c r="AA44" s="256"/>
      <c r="AB44" s="272" t="str">
        <f>IF(AND('Mapa final'!$H$28="Muy Baja",'Mapa final'!$L$28="Mayor"),CONCATENATE("R",'Mapa final'!$A$28),"")</f>
        <v/>
      </c>
      <c r="AC44" s="273"/>
      <c r="AD44" s="273" t="str">
        <f>IF(AND('Mapa final'!$H$34="Muy Baja",'Mapa final'!$L$34="Mayor"),CONCATENATE("R",'Mapa final'!$A$34),"")</f>
        <v/>
      </c>
      <c r="AE44" s="273"/>
      <c r="AF44" s="273" t="str">
        <f>IF(AND('Mapa final'!$H$40="Muy Baja",'Mapa final'!$L$40="Mayor"),CONCATENATE("R",'Mapa final'!$A$40),"")</f>
        <v/>
      </c>
      <c r="AG44" s="274"/>
      <c r="AH44" s="263" t="str">
        <f>IF(AND('Mapa final'!$H$28="Muy Baja",'Mapa final'!$L$28="Catastrófico"),CONCATENATE("R",'Mapa final'!$A$28),"")</f>
        <v/>
      </c>
      <c r="AI44" s="264"/>
      <c r="AJ44" s="264" t="str">
        <f>IF(AND('Mapa final'!$H$34="Muy Baja",'Mapa final'!$L$34="Catastrófico"),CONCATENATE("R",'Mapa final'!$A$34),"")</f>
        <v/>
      </c>
      <c r="AK44" s="264"/>
      <c r="AL44" s="264" t="str">
        <f>IF(AND('Mapa final'!$H$40="Muy Baja",'Mapa final'!$L$40="Catastrófico"),CONCATENATE("R",'Mapa final'!$A$40),"")</f>
        <v/>
      </c>
      <c r="AM44" s="265"/>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92"/>
      <c r="C45" s="292"/>
      <c r="D45" s="293"/>
      <c r="E45" s="288"/>
      <c r="F45" s="289"/>
      <c r="G45" s="289"/>
      <c r="H45" s="289"/>
      <c r="I45" s="290"/>
      <c r="J45" s="248"/>
      <c r="K45" s="249"/>
      <c r="L45" s="249"/>
      <c r="M45" s="249"/>
      <c r="N45" s="249"/>
      <c r="O45" s="250"/>
      <c r="P45" s="248"/>
      <c r="Q45" s="249"/>
      <c r="R45" s="249"/>
      <c r="S45" s="249"/>
      <c r="T45" s="249"/>
      <c r="U45" s="250"/>
      <c r="V45" s="257"/>
      <c r="W45" s="258"/>
      <c r="X45" s="258"/>
      <c r="Y45" s="258"/>
      <c r="Z45" s="258"/>
      <c r="AA45" s="259"/>
      <c r="AB45" s="275"/>
      <c r="AC45" s="276"/>
      <c r="AD45" s="276"/>
      <c r="AE45" s="276"/>
      <c r="AF45" s="276"/>
      <c r="AG45" s="277"/>
      <c r="AH45" s="266"/>
      <c r="AI45" s="267"/>
      <c r="AJ45" s="267"/>
      <c r="AK45" s="267"/>
      <c r="AL45" s="267"/>
      <c r="AM45" s="268"/>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82" t="s">
        <v>112</v>
      </c>
      <c r="K46" s="283"/>
      <c r="L46" s="283"/>
      <c r="M46" s="283"/>
      <c r="N46" s="283"/>
      <c r="O46" s="284"/>
      <c r="P46" s="282" t="s">
        <v>111</v>
      </c>
      <c r="Q46" s="283"/>
      <c r="R46" s="283"/>
      <c r="S46" s="283"/>
      <c r="T46" s="283"/>
      <c r="U46" s="284"/>
      <c r="V46" s="282" t="s">
        <v>110</v>
      </c>
      <c r="W46" s="283"/>
      <c r="X46" s="283"/>
      <c r="Y46" s="283"/>
      <c r="Z46" s="283"/>
      <c r="AA46" s="284"/>
      <c r="AB46" s="282" t="s">
        <v>109</v>
      </c>
      <c r="AC46" s="291"/>
      <c r="AD46" s="283"/>
      <c r="AE46" s="283"/>
      <c r="AF46" s="283"/>
      <c r="AG46" s="284"/>
      <c r="AH46" s="282" t="s">
        <v>108</v>
      </c>
      <c r="AI46" s="283"/>
      <c r="AJ46" s="283"/>
      <c r="AK46" s="283"/>
      <c r="AL46" s="283"/>
      <c r="AM46" s="284"/>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85"/>
      <c r="K47" s="286"/>
      <c r="L47" s="286"/>
      <c r="M47" s="286"/>
      <c r="N47" s="286"/>
      <c r="O47" s="287"/>
      <c r="P47" s="285"/>
      <c r="Q47" s="286"/>
      <c r="R47" s="286"/>
      <c r="S47" s="286"/>
      <c r="T47" s="286"/>
      <c r="U47" s="287"/>
      <c r="V47" s="285"/>
      <c r="W47" s="286"/>
      <c r="X47" s="286"/>
      <c r="Y47" s="286"/>
      <c r="Z47" s="286"/>
      <c r="AA47" s="287"/>
      <c r="AB47" s="285"/>
      <c r="AC47" s="286"/>
      <c r="AD47" s="286"/>
      <c r="AE47" s="286"/>
      <c r="AF47" s="286"/>
      <c r="AG47" s="287"/>
      <c r="AH47" s="285"/>
      <c r="AI47" s="286"/>
      <c r="AJ47" s="286"/>
      <c r="AK47" s="286"/>
      <c r="AL47" s="286"/>
      <c r="AM47" s="287"/>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85"/>
      <c r="K48" s="286"/>
      <c r="L48" s="286"/>
      <c r="M48" s="286"/>
      <c r="N48" s="286"/>
      <c r="O48" s="287"/>
      <c r="P48" s="285"/>
      <c r="Q48" s="286"/>
      <c r="R48" s="286"/>
      <c r="S48" s="286"/>
      <c r="T48" s="286"/>
      <c r="U48" s="287"/>
      <c r="V48" s="285"/>
      <c r="W48" s="286"/>
      <c r="X48" s="286"/>
      <c r="Y48" s="286"/>
      <c r="Z48" s="286"/>
      <c r="AA48" s="287"/>
      <c r="AB48" s="285"/>
      <c r="AC48" s="286"/>
      <c r="AD48" s="286"/>
      <c r="AE48" s="286"/>
      <c r="AF48" s="286"/>
      <c r="AG48" s="287"/>
      <c r="AH48" s="285"/>
      <c r="AI48" s="286"/>
      <c r="AJ48" s="286"/>
      <c r="AK48" s="286"/>
      <c r="AL48" s="286"/>
      <c r="AM48" s="287"/>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85"/>
      <c r="K49" s="286"/>
      <c r="L49" s="286"/>
      <c r="M49" s="286"/>
      <c r="N49" s="286"/>
      <c r="O49" s="287"/>
      <c r="P49" s="285"/>
      <c r="Q49" s="286"/>
      <c r="R49" s="286"/>
      <c r="S49" s="286"/>
      <c r="T49" s="286"/>
      <c r="U49" s="287"/>
      <c r="V49" s="285"/>
      <c r="W49" s="286"/>
      <c r="X49" s="286"/>
      <c r="Y49" s="286"/>
      <c r="Z49" s="286"/>
      <c r="AA49" s="287"/>
      <c r="AB49" s="285"/>
      <c r="AC49" s="286"/>
      <c r="AD49" s="286"/>
      <c r="AE49" s="286"/>
      <c r="AF49" s="286"/>
      <c r="AG49" s="287"/>
      <c r="AH49" s="285"/>
      <c r="AI49" s="286"/>
      <c r="AJ49" s="286"/>
      <c r="AK49" s="286"/>
      <c r="AL49" s="286"/>
      <c r="AM49" s="287"/>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85"/>
      <c r="K50" s="286"/>
      <c r="L50" s="286"/>
      <c r="M50" s="286"/>
      <c r="N50" s="286"/>
      <c r="O50" s="287"/>
      <c r="P50" s="285"/>
      <c r="Q50" s="286"/>
      <c r="R50" s="286"/>
      <c r="S50" s="286"/>
      <c r="T50" s="286"/>
      <c r="U50" s="287"/>
      <c r="V50" s="285"/>
      <c r="W50" s="286"/>
      <c r="X50" s="286"/>
      <c r="Y50" s="286"/>
      <c r="Z50" s="286"/>
      <c r="AA50" s="287"/>
      <c r="AB50" s="285"/>
      <c r="AC50" s="286"/>
      <c r="AD50" s="286"/>
      <c r="AE50" s="286"/>
      <c r="AF50" s="286"/>
      <c r="AG50" s="287"/>
      <c r="AH50" s="285"/>
      <c r="AI50" s="286"/>
      <c r="AJ50" s="286"/>
      <c r="AK50" s="286"/>
      <c r="AL50" s="286"/>
      <c r="AM50" s="287"/>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8"/>
      <c r="K51" s="289"/>
      <c r="L51" s="289"/>
      <c r="M51" s="289"/>
      <c r="N51" s="289"/>
      <c r="O51" s="290"/>
      <c r="P51" s="288"/>
      <c r="Q51" s="289"/>
      <c r="R51" s="289"/>
      <c r="S51" s="289"/>
      <c r="T51" s="289"/>
      <c r="U51" s="290"/>
      <c r="V51" s="288"/>
      <c r="W51" s="289"/>
      <c r="X51" s="289"/>
      <c r="Y51" s="289"/>
      <c r="Z51" s="289"/>
      <c r="AA51" s="290"/>
      <c r="AB51" s="288"/>
      <c r="AC51" s="289"/>
      <c r="AD51" s="289"/>
      <c r="AE51" s="289"/>
      <c r="AF51" s="289"/>
      <c r="AG51" s="290"/>
      <c r="AH51" s="288"/>
      <c r="AI51" s="289"/>
      <c r="AJ51" s="289"/>
      <c r="AK51" s="289"/>
      <c r="AL51" s="289"/>
      <c r="AM51" s="290"/>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topLeftCell="A31" zoomScale="50" zoomScaleNormal="50" workbookViewId="0">
      <selection activeCell="AC19" sqref="AC19"/>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9" t="s">
        <v>160</v>
      </c>
      <c r="C2" s="360"/>
      <c r="D2" s="360"/>
      <c r="E2" s="360"/>
      <c r="F2" s="360"/>
      <c r="G2" s="360"/>
      <c r="H2" s="360"/>
      <c r="I2" s="360"/>
      <c r="J2" s="281" t="s">
        <v>2</v>
      </c>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60"/>
      <c r="C3" s="360"/>
      <c r="D3" s="360"/>
      <c r="E3" s="360"/>
      <c r="F3" s="360"/>
      <c r="G3" s="360"/>
      <c r="H3" s="360"/>
      <c r="I3" s="360"/>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60"/>
      <c r="C4" s="360"/>
      <c r="D4" s="360"/>
      <c r="E4" s="360"/>
      <c r="F4" s="360"/>
      <c r="G4" s="360"/>
      <c r="H4" s="360"/>
      <c r="I4" s="360"/>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92" t="s">
        <v>4</v>
      </c>
      <c r="C6" s="292"/>
      <c r="D6" s="293"/>
      <c r="E6" s="330" t="s">
        <v>116</v>
      </c>
      <c r="F6" s="331"/>
      <c r="G6" s="331"/>
      <c r="H6" s="331"/>
      <c r="I6" s="332"/>
      <c r="J6" s="46" t="str">
        <f>IF(AND('Mapa final'!$Y$10="Muy Alta",'Mapa final'!$AA$10="Leve"),CONCATENATE("R1C",'Mapa final'!$O$10),"")</f>
        <v/>
      </c>
      <c r="K6" s="47" t="e">
        <f>IF(AND('Mapa final'!#REF!="Muy Alta",'Mapa final'!#REF!="Leve"),CONCATENATE("R1C",'Mapa final'!#REF!),"")</f>
        <v>#REF!</v>
      </c>
      <c r="L6" s="47" t="e">
        <f>IF(AND('Mapa final'!#REF!="Muy Alta",'Mapa final'!#REF!="Leve"),CONCATENATE("R1C",'Mapa final'!#REF!),"")</f>
        <v>#REF!</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IF(AND('Mapa final'!$Y$10="Muy Alta",'Mapa final'!$AA$10="Menor"),CONCATENATE("R1C",'Mapa final'!$O$10),"")</f>
        <v/>
      </c>
      <c r="Q6" s="47" t="e">
        <f>IF(AND('Mapa final'!#REF!="Muy Alta",'Mapa final'!#REF!="Menor"),CONCATENATE("R1C",'Mapa final'!#REF!),"")</f>
        <v>#REF!</v>
      </c>
      <c r="R6" s="47" t="e">
        <f>IF(AND('Mapa final'!#REF!="Muy Alta",'Mapa final'!#REF!="Menor"),CONCATENATE("R1C",'Mapa final'!#REF!),"")</f>
        <v>#REF!</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IF(AND('Mapa final'!$Y$10="Muy Alta",'Mapa final'!$AA$10="Moderado"),CONCATENATE("R1C",'Mapa final'!$O$10),"")</f>
        <v/>
      </c>
      <c r="W6" s="47" t="e">
        <f>IF(AND('Mapa final'!#REF!="Muy Alta",'Mapa final'!#REF!="Moderado"),CONCATENATE("R1C",'Mapa final'!#REF!),"")</f>
        <v>#REF!</v>
      </c>
      <c r="X6" s="47" t="e">
        <f>IF(AND('Mapa final'!#REF!="Muy Alta",'Mapa final'!#REF!="Moderado"),CONCATENATE("R1C",'Mapa final'!#REF!),"")</f>
        <v>#REF!</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IF(AND('Mapa final'!$Y$10="Muy Alta",'Mapa final'!$AA$10="Mayor"),CONCATENATE("R1C",'Mapa final'!$O$10),"")</f>
        <v/>
      </c>
      <c r="AC6" s="47" t="e">
        <f>IF(AND('Mapa final'!#REF!="Muy Alta",'Mapa final'!#REF!="Mayor"),CONCATENATE("R1C",'Mapa final'!#REF!),"")</f>
        <v>#REF!</v>
      </c>
      <c r="AD6" s="47" t="e">
        <f>IF(AND('Mapa final'!#REF!="Muy Alta",'Mapa final'!#REF!="Mayor"),CONCATENATE("R1C",'Mapa final'!#REF!),"")</f>
        <v>#REF!</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IF(AND('Mapa final'!$Y$10="Muy Alta",'Mapa final'!$AA$10="Catastrófico"),CONCATENATE("R1C",'Mapa final'!$O$10),"")</f>
        <v/>
      </c>
      <c r="AI6" s="50" t="e">
        <f>IF(AND('Mapa final'!#REF!="Muy Alta",'Mapa final'!#REF!="Catastrófico"),CONCATENATE("R1C",'Mapa final'!#REF!),"")</f>
        <v>#REF!</v>
      </c>
      <c r="AJ6" s="50" t="e">
        <f>IF(AND('Mapa final'!#REF!="Muy Alta",'Mapa final'!#REF!="Catastrófico"),CONCATENATE("R1C",'Mapa final'!#REF!),"")</f>
        <v>#REF!</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50" t="s">
        <v>79</v>
      </c>
      <c r="AP6" s="351"/>
      <c r="AQ6" s="351"/>
      <c r="AR6" s="351"/>
      <c r="AS6" s="351"/>
      <c r="AT6" s="35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92"/>
      <c r="C7" s="292"/>
      <c r="D7" s="293"/>
      <c r="E7" s="333"/>
      <c r="F7" s="334"/>
      <c r="G7" s="334"/>
      <c r="H7" s="334"/>
      <c r="I7" s="335"/>
      <c r="J7" s="52" t="e">
        <f>IF(AND('Mapa final'!#REF!="Muy Alta",'Mapa final'!#REF!="Leve"),CONCATENATE("R2C",'Mapa final'!#REF!),"")</f>
        <v>#REF!</v>
      </c>
      <c r="K7" s="53" t="e">
        <f>IF(AND('Mapa final'!#REF!="Muy Alta",'Mapa final'!#REF!="Leve"),CONCATENATE("R2C",'Mapa final'!#REF!),"")</f>
        <v>#REF!</v>
      </c>
      <c r="L7" s="53" t="e">
        <f>IF(AND('Mapa final'!#REF!="Muy Alta",'Mapa final'!#REF!="Leve"),CONCATENATE("R2C",'Mapa final'!#REF!),"")</f>
        <v>#REF!</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e">
        <f>IF(AND('Mapa final'!#REF!="Muy Alta",'Mapa final'!#REF!="Menor"),CONCATENATE("R2C",'Mapa final'!#REF!),"")</f>
        <v>#REF!</v>
      </c>
      <c r="Q7" s="53" t="e">
        <f>IF(AND('Mapa final'!#REF!="Muy Alta",'Mapa final'!#REF!="Menor"),CONCATENATE("R2C",'Mapa final'!#REF!),"")</f>
        <v>#REF!</v>
      </c>
      <c r="R7" s="53" t="e">
        <f>IF(AND('Mapa final'!#REF!="Muy Alta",'Mapa final'!#REF!="Menor"),CONCATENATE("R2C",'Mapa final'!#REF!),"")</f>
        <v>#REF!</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e">
        <f>IF(AND('Mapa final'!#REF!="Muy Alta",'Mapa final'!#REF!="Moderado"),CONCATENATE("R2C",'Mapa final'!#REF!),"")</f>
        <v>#REF!</v>
      </c>
      <c r="W7" s="53" t="e">
        <f>IF(AND('Mapa final'!#REF!="Muy Alta",'Mapa final'!#REF!="Moderado"),CONCATENATE("R2C",'Mapa final'!#REF!),"")</f>
        <v>#REF!</v>
      </c>
      <c r="X7" s="53" t="e">
        <f>IF(AND('Mapa final'!#REF!="Muy Alta",'Mapa final'!#REF!="Moderado"),CONCATENATE("R2C",'Mapa final'!#REF!),"")</f>
        <v>#REF!</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e">
        <f>IF(AND('Mapa final'!#REF!="Muy Alta",'Mapa final'!#REF!="Mayor"),CONCATENATE("R2C",'Mapa final'!#REF!),"")</f>
        <v>#REF!</v>
      </c>
      <c r="AC7" s="53" t="e">
        <f>IF(AND('Mapa final'!#REF!="Muy Alta",'Mapa final'!#REF!="Mayor"),CONCATENATE("R2C",'Mapa final'!#REF!),"")</f>
        <v>#REF!</v>
      </c>
      <c r="AD7" s="53" t="e">
        <f>IF(AND('Mapa final'!#REF!="Muy Alta",'Mapa final'!#REF!="Mayor"),CONCATENATE("R2C",'Mapa final'!#REF!),"")</f>
        <v>#REF!</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e">
        <f>IF(AND('Mapa final'!#REF!="Muy Alta",'Mapa final'!#REF!="Catastrófico"),CONCATENATE("R2C",'Mapa final'!#REF!),"")</f>
        <v>#REF!</v>
      </c>
      <c r="AI7" s="56" t="e">
        <f>IF(AND('Mapa final'!#REF!="Muy Alta",'Mapa final'!#REF!="Catastrófico"),CONCATENATE("R2C",'Mapa final'!#REF!),"")</f>
        <v>#REF!</v>
      </c>
      <c r="AJ7" s="56" t="e">
        <f>IF(AND('Mapa final'!#REF!="Muy Alta",'Mapa final'!#REF!="Catastrófico"),CONCATENATE("R2C",'Mapa final'!#REF!),"")</f>
        <v>#REF!</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3"/>
      <c r="AO7" s="353"/>
      <c r="AP7" s="354"/>
      <c r="AQ7" s="354"/>
      <c r="AR7" s="354"/>
      <c r="AS7" s="354"/>
      <c r="AT7" s="35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92"/>
      <c r="C8" s="292"/>
      <c r="D8" s="293"/>
      <c r="E8" s="333"/>
      <c r="F8" s="334"/>
      <c r="G8" s="334"/>
      <c r="H8" s="334"/>
      <c r="I8" s="335"/>
      <c r="J8" s="52" t="str">
        <f>IF(AND('Mapa final'!$Y$11="Muy Alta",'Mapa final'!$AA$11="Leve"),CONCATENATE("R3C",'Mapa final'!$O$11),"")</f>
        <v/>
      </c>
      <c r="K8" s="53" t="e">
        <f>IF(AND('Mapa final'!#REF!="Muy Alta",'Mapa final'!#REF!="Leve"),CONCATENATE("R3C",'Mapa final'!#REF!),"")</f>
        <v>#REF!</v>
      </c>
      <c r="L8" s="53" t="e">
        <f>IF(AND('Mapa final'!#REF!="Muy Alta",'Mapa final'!#REF!="Leve"),CONCATENATE("R3C",'Mapa final'!#REF!),"")</f>
        <v>#REF!</v>
      </c>
      <c r="M8" s="53" t="e">
        <f>IF(AND('Mapa final'!#REF!="Muy Alta",'Mapa final'!#REF!="Leve"),CONCATENATE("R3C",'Mapa final'!#REF!),"")</f>
        <v>#REF!</v>
      </c>
      <c r="N8" s="53" t="e">
        <f>IF(AND('Mapa final'!#REF!="Muy Alta",'Mapa final'!#REF!="Leve"),CONCATENATE("R3C",'Mapa final'!#REF!),"")</f>
        <v>#REF!</v>
      </c>
      <c r="O8" s="54" t="e">
        <f>IF(AND('Mapa final'!#REF!="Muy Alta",'Mapa final'!#REF!="Leve"),CONCATENATE("R3C",'Mapa final'!#REF!),"")</f>
        <v>#REF!</v>
      </c>
      <c r="P8" s="52" t="str">
        <f>IF(AND('Mapa final'!$Y$11="Muy Alta",'Mapa final'!$AA$11="Menor"),CONCATENATE("R3C",'Mapa final'!$O$11),"")</f>
        <v/>
      </c>
      <c r="Q8" s="53" t="e">
        <f>IF(AND('Mapa final'!#REF!="Muy Alta",'Mapa final'!#REF!="Menor"),CONCATENATE("R3C",'Mapa final'!#REF!),"")</f>
        <v>#REF!</v>
      </c>
      <c r="R8" s="53" t="e">
        <f>IF(AND('Mapa final'!#REF!="Muy Alta",'Mapa final'!#REF!="Menor"),CONCATENATE("R3C",'Mapa final'!#REF!),"")</f>
        <v>#REF!</v>
      </c>
      <c r="S8" s="53" t="e">
        <f>IF(AND('Mapa final'!#REF!="Muy Alta",'Mapa final'!#REF!="Menor"),CONCATENATE("R3C",'Mapa final'!#REF!),"")</f>
        <v>#REF!</v>
      </c>
      <c r="T8" s="53" t="e">
        <f>IF(AND('Mapa final'!#REF!="Muy Alta",'Mapa final'!#REF!="Menor"),CONCATENATE("R3C",'Mapa final'!#REF!),"")</f>
        <v>#REF!</v>
      </c>
      <c r="U8" s="54" t="e">
        <f>IF(AND('Mapa final'!#REF!="Muy Alta",'Mapa final'!#REF!="Menor"),CONCATENATE("R3C",'Mapa final'!#REF!),"")</f>
        <v>#REF!</v>
      </c>
      <c r="V8" s="52" t="str">
        <f>IF(AND('Mapa final'!$Y$11="Muy Alta",'Mapa final'!$AA$11="Moderado"),CONCATENATE("R3C",'Mapa final'!$O$11),"")</f>
        <v/>
      </c>
      <c r="W8" s="53" t="e">
        <f>IF(AND('Mapa final'!#REF!="Muy Alta",'Mapa final'!#REF!="Moderado"),CONCATENATE("R3C",'Mapa final'!#REF!),"")</f>
        <v>#REF!</v>
      </c>
      <c r="X8" s="53" t="e">
        <f>IF(AND('Mapa final'!#REF!="Muy Alta",'Mapa final'!#REF!="Moderado"),CONCATENATE("R3C",'Mapa final'!#REF!),"")</f>
        <v>#REF!</v>
      </c>
      <c r="Y8" s="53" t="e">
        <f>IF(AND('Mapa final'!#REF!="Muy Alta",'Mapa final'!#REF!="Moderado"),CONCATENATE("R3C",'Mapa final'!#REF!),"")</f>
        <v>#REF!</v>
      </c>
      <c r="Z8" s="53" t="e">
        <f>IF(AND('Mapa final'!#REF!="Muy Alta",'Mapa final'!#REF!="Moderado"),CONCATENATE("R3C",'Mapa final'!#REF!),"")</f>
        <v>#REF!</v>
      </c>
      <c r="AA8" s="54" t="e">
        <f>IF(AND('Mapa final'!#REF!="Muy Alta",'Mapa final'!#REF!="Moderado"),CONCATENATE("R3C",'Mapa final'!#REF!),"")</f>
        <v>#REF!</v>
      </c>
      <c r="AB8" s="52" t="str">
        <f>IF(AND('Mapa final'!$Y$11="Muy Alta",'Mapa final'!$AA$11="Mayor"),CONCATENATE("R3C",'Mapa final'!$O$11),"")</f>
        <v/>
      </c>
      <c r="AC8" s="53" t="e">
        <f>IF(AND('Mapa final'!#REF!="Muy Alta",'Mapa final'!#REF!="Mayor"),CONCATENATE("R3C",'Mapa final'!#REF!),"")</f>
        <v>#REF!</v>
      </c>
      <c r="AD8" s="53" t="e">
        <f>IF(AND('Mapa final'!#REF!="Muy Alta",'Mapa final'!#REF!="Mayor"),CONCATENATE("R3C",'Mapa final'!#REF!),"")</f>
        <v>#REF!</v>
      </c>
      <c r="AE8" s="53" t="e">
        <f>IF(AND('Mapa final'!#REF!="Muy Alta",'Mapa final'!#REF!="Mayor"),CONCATENATE("R3C",'Mapa final'!#REF!),"")</f>
        <v>#REF!</v>
      </c>
      <c r="AF8" s="53" t="e">
        <f>IF(AND('Mapa final'!#REF!="Muy Alta",'Mapa final'!#REF!="Mayor"),CONCATENATE("R3C",'Mapa final'!#REF!),"")</f>
        <v>#REF!</v>
      </c>
      <c r="AG8" s="54" t="e">
        <f>IF(AND('Mapa final'!#REF!="Muy Alta",'Mapa final'!#REF!="Mayor"),CONCATENATE("R3C",'Mapa final'!#REF!),"")</f>
        <v>#REF!</v>
      </c>
      <c r="AH8" s="55" t="str">
        <f>IF(AND('Mapa final'!$Y$11="Muy Alta",'Mapa final'!$AA$11="Catastrófico"),CONCATENATE("R3C",'Mapa final'!$O$11),"")</f>
        <v/>
      </c>
      <c r="AI8" s="56" t="e">
        <f>IF(AND('Mapa final'!#REF!="Muy Alta",'Mapa final'!#REF!="Catastrófico"),CONCATENATE("R3C",'Mapa final'!#REF!),"")</f>
        <v>#REF!</v>
      </c>
      <c r="AJ8" s="56" t="e">
        <f>IF(AND('Mapa final'!#REF!="Muy Alta",'Mapa final'!#REF!="Catastrófico"),CONCATENATE("R3C",'Mapa final'!#REF!),"")</f>
        <v>#REF!</v>
      </c>
      <c r="AK8" s="56" t="e">
        <f>IF(AND('Mapa final'!#REF!="Muy Alta",'Mapa final'!#REF!="Catastrófico"),CONCATENATE("R3C",'Mapa final'!#REF!),"")</f>
        <v>#REF!</v>
      </c>
      <c r="AL8" s="56" t="e">
        <f>IF(AND('Mapa final'!#REF!="Muy Alta",'Mapa final'!#REF!="Catastrófico"),CONCATENATE("R3C",'Mapa final'!#REF!),"")</f>
        <v>#REF!</v>
      </c>
      <c r="AM8" s="57" t="e">
        <f>IF(AND('Mapa final'!#REF!="Muy Alta",'Mapa final'!#REF!="Catastrófico"),CONCATENATE("R3C",'Mapa final'!#REF!),"")</f>
        <v>#REF!</v>
      </c>
      <c r="AN8" s="83"/>
      <c r="AO8" s="353"/>
      <c r="AP8" s="354"/>
      <c r="AQ8" s="354"/>
      <c r="AR8" s="354"/>
      <c r="AS8" s="354"/>
      <c r="AT8" s="35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92"/>
      <c r="C9" s="292"/>
      <c r="D9" s="293"/>
      <c r="E9" s="333"/>
      <c r="F9" s="334"/>
      <c r="G9" s="334"/>
      <c r="H9" s="334"/>
      <c r="I9" s="335"/>
      <c r="J9" s="52" t="str">
        <f>IF(AND('Mapa final'!$Y$12="Muy Alta",'Mapa final'!$AA$12="Leve"),CONCATENATE("R4C",'Mapa final'!$O$12),"")</f>
        <v/>
      </c>
      <c r="K9" s="53" t="e">
        <f>IF(AND('Mapa final'!#REF!="Muy Alta",'Mapa final'!#REF!="Leve"),CONCATENATE("R4C",'Mapa final'!#REF!),"")</f>
        <v>#REF!</v>
      </c>
      <c r="L9" s="53" t="e">
        <f>IF(AND('Mapa final'!#REF!="Muy Alta",'Mapa final'!#REF!="Leve"),CONCATENATE("R4C",'Mapa final'!#REF!),"")</f>
        <v>#REF!</v>
      </c>
      <c r="M9" s="53" t="e">
        <f>IF(AND('Mapa final'!#REF!="Muy Alta",'Mapa final'!#REF!="Leve"),CONCATENATE("R4C",'Mapa final'!#REF!),"")</f>
        <v>#REF!</v>
      </c>
      <c r="N9" s="53" t="e">
        <f>IF(AND('Mapa final'!#REF!="Muy Alta",'Mapa final'!#REF!="Leve"),CONCATENATE("R4C",'Mapa final'!#REF!),"")</f>
        <v>#REF!</v>
      </c>
      <c r="O9" s="54" t="e">
        <f>IF(AND('Mapa final'!#REF!="Muy Alta",'Mapa final'!#REF!="Leve"),CONCATENATE("R4C",'Mapa final'!#REF!),"")</f>
        <v>#REF!</v>
      </c>
      <c r="P9" s="52" t="str">
        <f>IF(AND('Mapa final'!$Y$12="Muy Alta",'Mapa final'!$AA$12="Menor"),CONCATENATE("R4C",'Mapa final'!$O$12),"")</f>
        <v/>
      </c>
      <c r="Q9" s="53" t="e">
        <f>IF(AND('Mapa final'!#REF!="Muy Alta",'Mapa final'!#REF!="Menor"),CONCATENATE("R4C",'Mapa final'!#REF!),"")</f>
        <v>#REF!</v>
      </c>
      <c r="R9" s="53" t="e">
        <f>IF(AND('Mapa final'!#REF!="Muy Alta",'Mapa final'!#REF!="Menor"),CONCATENATE("R4C",'Mapa final'!#REF!),"")</f>
        <v>#REF!</v>
      </c>
      <c r="S9" s="53" t="e">
        <f>IF(AND('Mapa final'!#REF!="Muy Alta",'Mapa final'!#REF!="Menor"),CONCATENATE("R4C",'Mapa final'!#REF!),"")</f>
        <v>#REF!</v>
      </c>
      <c r="T9" s="53" t="e">
        <f>IF(AND('Mapa final'!#REF!="Muy Alta",'Mapa final'!#REF!="Menor"),CONCATENATE("R4C",'Mapa final'!#REF!),"")</f>
        <v>#REF!</v>
      </c>
      <c r="U9" s="54" t="e">
        <f>IF(AND('Mapa final'!#REF!="Muy Alta",'Mapa final'!#REF!="Menor"),CONCATENATE("R4C",'Mapa final'!#REF!),"")</f>
        <v>#REF!</v>
      </c>
      <c r="V9" s="52" t="str">
        <f>IF(AND('Mapa final'!$Y$12="Muy Alta",'Mapa final'!$AA$12="Moderado"),CONCATENATE("R4C",'Mapa final'!$O$12),"")</f>
        <v/>
      </c>
      <c r="W9" s="53" t="e">
        <f>IF(AND('Mapa final'!#REF!="Muy Alta",'Mapa final'!#REF!="Moderado"),CONCATENATE("R4C",'Mapa final'!#REF!),"")</f>
        <v>#REF!</v>
      </c>
      <c r="X9" s="53" t="e">
        <f>IF(AND('Mapa final'!#REF!="Muy Alta",'Mapa final'!#REF!="Moderado"),CONCATENATE("R4C",'Mapa final'!#REF!),"")</f>
        <v>#REF!</v>
      </c>
      <c r="Y9" s="53" t="e">
        <f>IF(AND('Mapa final'!#REF!="Muy Alta",'Mapa final'!#REF!="Moderado"),CONCATENATE("R4C",'Mapa final'!#REF!),"")</f>
        <v>#REF!</v>
      </c>
      <c r="Z9" s="53" t="e">
        <f>IF(AND('Mapa final'!#REF!="Muy Alta",'Mapa final'!#REF!="Moderado"),CONCATENATE("R4C",'Mapa final'!#REF!),"")</f>
        <v>#REF!</v>
      </c>
      <c r="AA9" s="54" t="e">
        <f>IF(AND('Mapa final'!#REF!="Muy Alta",'Mapa final'!#REF!="Moderado"),CONCATENATE("R4C",'Mapa final'!#REF!),"")</f>
        <v>#REF!</v>
      </c>
      <c r="AB9" s="52" t="str">
        <f>IF(AND('Mapa final'!$Y$12="Muy Alta",'Mapa final'!$AA$12="Mayor"),CONCATENATE("R4C",'Mapa final'!$O$12),"")</f>
        <v/>
      </c>
      <c r="AC9" s="53" t="e">
        <f>IF(AND('Mapa final'!#REF!="Muy Alta",'Mapa final'!#REF!="Mayor"),CONCATENATE("R4C",'Mapa final'!#REF!),"")</f>
        <v>#REF!</v>
      </c>
      <c r="AD9" s="53" t="e">
        <f>IF(AND('Mapa final'!#REF!="Muy Alta",'Mapa final'!#REF!="Mayor"),CONCATENATE("R4C",'Mapa final'!#REF!),"")</f>
        <v>#REF!</v>
      </c>
      <c r="AE9" s="53" t="e">
        <f>IF(AND('Mapa final'!#REF!="Muy Alta",'Mapa final'!#REF!="Mayor"),CONCATENATE("R4C",'Mapa final'!#REF!),"")</f>
        <v>#REF!</v>
      </c>
      <c r="AF9" s="53" t="e">
        <f>IF(AND('Mapa final'!#REF!="Muy Alta",'Mapa final'!#REF!="Mayor"),CONCATENATE("R4C",'Mapa final'!#REF!),"")</f>
        <v>#REF!</v>
      </c>
      <c r="AG9" s="54" t="e">
        <f>IF(AND('Mapa final'!#REF!="Muy Alta",'Mapa final'!#REF!="Mayor"),CONCATENATE("R4C",'Mapa final'!#REF!),"")</f>
        <v>#REF!</v>
      </c>
      <c r="AH9" s="55" t="str">
        <f>IF(AND('Mapa final'!$Y$12="Muy Alta",'Mapa final'!$AA$12="Catastrófico"),CONCATENATE("R4C",'Mapa final'!$O$12),"")</f>
        <v/>
      </c>
      <c r="AI9" s="56" t="e">
        <f>IF(AND('Mapa final'!#REF!="Muy Alta",'Mapa final'!#REF!="Catastrófico"),CONCATENATE("R4C",'Mapa final'!#REF!),"")</f>
        <v>#REF!</v>
      </c>
      <c r="AJ9" s="56" t="e">
        <f>IF(AND('Mapa final'!#REF!="Muy Alta",'Mapa final'!#REF!="Catastrófico"),CONCATENATE("R4C",'Mapa final'!#REF!),"")</f>
        <v>#REF!</v>
      </c>
      <c r="AK9" s="56" t="e">
        <f>IF(AND('Mapa final'!#REF!="Muy Alta",'Mapa final'!#REF!="Catastrófico"),CONCATENATE("R4C",'Mapa final'!#REF!),"")</f>
        <v>#REF!</v>
      </c>
      <c r="AL9" s="56" t="e">
        <f>IF(AND('Mapa final'!#REF!="Muy Alta",'Mapa final'!#REF!="Catastrófico"),CONCATENATE("R4C",'Mapa final'!#REF!),"")</f>
        <v>#REF!</v>
      </c>
      <c r="AM9" s="57" t="e">
        <f>IF(AND('Mapa final'!#REF!="Muy Alta",'Mapa final'!#REF!="Catastrófico"),CONCATENATE("R4C",'Mapa final'!#REF!),"")</f>
        <v>#REF!</v>
      </c>
      <c r="AN9" s="83"/>
      <c r="AO9" s="353"/>
      <c r="AP9" s="354"/>
      <c r="AQ9" s="354"/>
      <c r="AR9" s="354"/>
      <c r="AS9" s="354"/>
      <c r="AT9" s="35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92"/>
      <c r="C10" s="292"/>
      <c r="D10" s="293"/>
      <c r="E10" s="333"/>
      <c r="F10" s="334"/>
      <c r="G10" s="334"/>
      <c r="H10" s="334"/>
      <c r="I10" s="335"/>
      <c r="J10" s="52" t="str">
        <f>IF(AND('Mapa final'!$Y$13="Muy Alta",'Mapa final'!$AA$13="Leve"),CONCATENATE("R5C",'Mapa final'!$O$13),"")</f>
        <v/>
      </c>
      <c r="K10" s="53" t="e">
        <f>IF(AND('Mapa final'!#REF!="Muy Alta",'Mapa final'!#REF!="Leve"),CONCATENATE("R5C",'Mapa final'!#REF!),"")</f>
        <v>#REF!</v>
      </c>
      <c r="L10" s="53" t="e">
        <f>IF(AND('Mapa final'!#REF!="Muy Alta",'Mapa final'!#REF!="Leve"),CONCATENATE("R5C",'Mapa final'!#REF!),"")</f>
        <v>#REF!</v>
      </c>
      <c r="M10" s="53" t="e">
        <f>IF(AND('Mapa final'!#REF!="Muy Alta",'Mapa final'!#REF!="Leve"),CONCATENATE("R5C",'Mapa final'!#REF!),"")</f>
        <v>#REF!</v>
      </c>
      <c r="N10" s="53" t="e">
        <f>IF(AND('Mapa final'!#REF!="Muy Alta",'Mapa final'!#REF!="Leve"),CONCATENATE("R5C",'Mapa final'!#REF!),"")</f>
        <v>#REF!</v>
      </c>
      <c r="O10" s="54" t="e">
        <f>IF(AND('Mapa final'!#REF!="Muy Alta",'Mapa final'!#REF!="Leve"),CONCATENATE("R5C",'Mapa final'!#REF!),"")</f>
        <v>#REF!</v>
      </c>
      <c r="P10" s="52" t="str">
        <f>IF(AND('Mapa final'!$Y$13="Muy Alta",'Mapa final'!$AA$13="Menor"),CONCATENATE("R5C",'Mapa final'!$O$13),"")</f>
        <v/>
      </c>
      <c r="Q10" s="53" t="e">
        <f>IF(AND('Mapa final'!#REF!="Muy Alta",'Mapa final'!#REF!="Menor"),CONCATENATE("R5C",'Mapa final'!#REF!),"")</f>
        <v>#REF!</v>
      </c>
      <c r="R10" s="53" t="e">
        <f>IF(AND('Mapa final'!#REF!="Muy Alta",'Mapa final'!#REF!="Menor"),CONCATENATE("R5C",'Mapa final'!#REF!),"")</f>
        <v>#REF!</v>
      </c>
      <c r="S10" s="53" t="e">
        <f>IF(AND('Mapa final'!#REF!="Muy Alta",'Mapa final'!#REF!="Menor"),CONCATENATE("R5C",'Mapa final'!#REF!),"")</f>
        <v>#REF!</v>
      </c>
      <c r="T10" s="53" t="e">
        <f>IF(AND('Mapa final'!#REF!="Muy Alta",'Mapa final'!#REF!="Menor"),CONCATENATE("R5C",'Mapa final'!#REF!),"")</f>
        <v>#REF!</v>
      </c>
      <c r="U10" s="54" t="e">
        <f>IF(AND('Mapa final'!#REF!="Muy Alta",'Mapa final'!#REF!="Menor"),CONCATENATE("R5C",'Mapa final'!#REF!),"")</f>
        <v>#REF!</v>
      </c>
      <c r="V10" s="52" t="str">
        <f>IF(AND('Mapa final'!$Y$13="Muy Alta",'Mapa final'!$AA$13="Moderado"),CONCATENATE("R5C",'Mapa final'!$O$13),"")</f>
        <v/>
      </c>
      <c r="W10" s="53" t="e">
        <f>IF(AND('Mapa final'!#REF!="Muy Alta",'Mapa final'!#REF!="Moderado"),CONCATENATE("R5C",'Mapa final'!#REF!),"")</f>
        <v>#REF!</v>
      </c>
      <c r="X10" s="53" t="e">
        <f>IF(AND('Mapa final'!#REF!="Muy Alta",'Mapa final'!#REF!="Moderado"),CONCATENATE("R5C",'Mapa final'!#REF!),"")</f>
        <v>#REF!</v>
      </c>
      <c r="Y10" s="53" t="e">
        <f>IF(AND('Mapa final'!#REF!="Muy Alta",'Mapa final'!#REF!="Moderado"),CONCATENATE("R5C",'Mapa final'!#REF!),"")</f>
        <v>#REF!</v>
      </c>
      <c r="Z10" s="53" t="e">
        <f>IF(AND('Mapa final'!#REF!="Muy Alta",'Mapa final'!#REF!="Moderado"),CONCATENATE("R5C",'Mapa final'!#REF!),"")</f>
        <v>#REF!</v>
      </c>
      <c r="AA10" s="54" t="e">
        <f>IF(AND('Mapa final'!#REF!="Muy Alta",'Mapa final'!#REF!="Moderado"),CONCATENATE("R5C",'Mapa final'!#REF!),"")</f>
        <v>#REF!</v>
      </c>
      <c r="AB10" s="52" t="str">
        <f>IF(AND('Mapa final'!$Y$13="Muy Alta",'Mapa final'!$AA$13="Mayor"),CONCATENATE("R5C",'Mapa final'!$O$13),"")</f>
        <v/>
      </c>
      <c r="AC10" s="53" t="e">
        <f>IF(AND('Mapa final'!#REF!="Muy Alta",'Mapa final'!#REF!="Mayor"),CONCATENATE("R5C",'Mapa final'!#REF!),"")</f>
        <v>#REF!</v>
      </c>
      <c r="AD10" s="53" t="e">
        <f>IF(AND('Mapa final'!#REF!="Muy Alta",'Mapa final'!#REF!="Mayor"),CONCATENATE("R5C",'Mapa final'!#REF!),"")</f>
        <v>#REF!</v>
      </c>
      <c r="AE10" s="53" t="e">
        <f>IF(AND('Mapa final'!#REF!="Muy Alta",'Mapa final'!#REF!="Mayor"),CONCATENATE("R5C",'Mapa final'!#REF!),"")</f>
        <v>#REF!</v>
      </c>
      <c r="AF10" s="53" t="e">
        <f>IF(AND('Mapa final'!#REF!="Muy Alta",'Mapa final'!#REF!="Mayor"),CONCATENATE("R5C",'Mapa final'!#REF!),"")</f>
        <v>#REF!</v>
      </c>
      <c r="AG10" s="54" t="e">
        <f>IF(AND('Mapa final'!#REF!="Muy Alta",'Mapa final'!#REF!="Mayor"),CONCATENATE("R5C",'Mapa final'!#REF!),"")</f>
        <v>#REF!</v>
      </c>
      <c r="AH10" s="55" t="str">
        <f>IF(AND('Mapa final'!$Y$13="Muy Alta",'Mapa final'!$AA$13="Catastrófico"),CONCATENATE("R5C",'Mapa final'!$O$13),"")</f>
        <v/>
      </c>
      <c r="AI10" s="56" t="e">
        <f>IF(AND('Mapa final'!#REF!="Muy Alta",'Mapa final'!#REF!="Catastrófico"),CONCATENATE("R5C",'Mapa final'!#REF!),"")</f>
        <v>#REF!</v>
      </c>
      <c r="AJ10" s="56" t="e">
        <f>IF(AND('Mapa final'!#REF!="Muy Alta",'Mapa final'!#REF!="Catastrófico"),CONCATENATE("R5C",'Mapa final'!#REF!),"")</f>
        <v>#REF!</v>
      </c>
      <c r="AK10" s="56" t="e">
        <f>IF(AND('Mapa final'!#REF!="Muy Alta",'Mapa final'!#REF!="Catastrófico"),CONCATENATE("R5C",'Mapa final'!#REF!),"")</f>
        <v>#REF!</v>
      </c>
      <c r="AL10" s="56" t="e">
        <f>IF(AND('Mapa final'!#REF!="Muy Alta",'Mapa final'!#REF!="Catastrófico"),CONCATENATE("R5C",'Mapa final'!#REF!),"")</f>
        <v>#REF!</v>
      </c>
      <c r="AM10" s="57" t="e">
        <f>IF(AND('Mapa final'!#REF!="Muy Alta",'Mapa final'!#REF!="Catastrófico"),CONCATENATE("R5C",'Mapa final'!#REF!),"")</f>
        <v>#REF!</v>
      </c>
      <c r="AN10" s="83"/>
      <c r="AO10" s="353"/>
      <c r="AP10" s="354"/>
      <c r="AQ10" s="354"/>
      <c r="AR10" s="354"/>
      <c r="AS10" s="354"/>
      <c r="AT10" s="35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92"/>
      <c r="C11" s="292"/>
      <c r="D11" s="293"/>
      <c r="E11" s="333"/>
      <c r="F11" s="334"/>
      <c r="G11" s="334"/>
      <c r="H11" s="334"/>
      <c r="I11" s="335"/>
      <c r="J11" s="52" t="str">
        <f>IF(AND('Mapa final'!$Y$14="Muy Alta",'Mapa final'!$AA$14="Leve"),CONCATENATE("R6C",'Mapa final'!$O$14),"")</f>
        <v/>
      </c>
      <c r="K11" s="53" t="e">
        <f>IF(AND('Mapa final'!#REF!="Muy Alta",'Mapa final'!#REF!="Leve"),CONCATENATE("R6C",'Mapa final'!#REF!),"")</f>
        <v>#REF!</v>
      </c>
      <c r="L11" s="53" t="e">
        <f>IF(AND('Mapa final'!#REF!="Muy Alta",'Mapa final'!#REF!="Leve"),CONCATENATE("R6C",'Mapa final'!#REF!),"")</f>
        <v>#REF!</v>
      </c>
      <c r="M11" s="53" t="e">
        <f>IF(AND('Mapa final'!#REF!="Muy Alta",'Mapa final'!#REF!="Leve"),CONCATENATE("R6C",'Mapa final'!#REF!),"")</f>
        <v>#REF!</v>
      </c>
      <c r="N11" s="53" t="e">
        <f>IF(AND('Mapa final'!#REF!="Muy Alta",'Mapa final'!#REF!="Leve"),CONCATENATE("R6C",'Mapa final'!#REF!),"")</f>
        <v>#REF!</v>
      </c>
      <c r="O11" s="54" t="e">
        <f>IF(AND('Mapa final'!#REF!="Muy Alta",'Mapa final'!#REF!="Leve"),CONCATENATE("R6C",'Mapa final'!#REF!),"")</f>
        <v>#REF!</v>
      </c>
      <c r="P11" s="52" t="str">
        <f>IF(AND('Mapa final'!$Y$14="Muy Alta",'Mapa final'!$AA$14="Menor"),CONCATENATE("R6C",'Mapa final'!$O$14),"")</f>
        <v/>
      </c>
      <c r="Q11" s="53" t="e">
        <f>IF(AND('Mapa final'!#REF!="Muy Alta",'Mapa final'!#REF!="Menor"),CONCATENATE("R6C",'Mapa final'!#REF!),"")</f>
        <v>#REF!</v>
      </c>
      <c r="R11" s="53" t="e">
        <f>IF(AND('Mapa final'!#REF!="Muy Alta",'Mapa final'!#REF!="Menor"),CONCATENATE("R6C",'Mapa final'!#REF!),"")</f>
        <v>#REF!</v>
      </c>
      <c r="S11" s="53" t="e">
        <f>IF(AND('Mapa final'!#REF!="Muy Alta",'Mapa final'!#REF!="Menor"),CONCATENATE("R6C",'Mapa final'!#REF!),"")</f>
        <v>#REF!</v>
      </c>
      <c r="T11" s="53" t="e">
        <f>IF(AND('Mapa final'!#REF!="Muy Alta",'Mapa final'!#REF!="Menor"),CONCATENATE("R6C",'Mapa final'!#REF!),"")</f>
        <v>#REF!</v>
      </c>
      <c r="U11" s="54" t="e">
        <f>IF(AND('Mapa final'!#REF!="Muy Alta",'Mapa final'!#REF!="Menor"),CONCATENATE("R6C",'Mapa final'!#REF!),"")</f>
        <v>#REF!</v>
      </c>
      <c r="V11" s="52" t="str">
        <f>IF(AND('Mapa final'!$Y$14="Muy Alta",'Mapa final'!$AA$14="Moderado"),CONCATENATE("R6C",'Mapa final'!$O$14),"")</f>
        <v/>
      </c>
      <c r="W11" s="53" t="e">
        <f>IF(AND('Mapa final'!#REF!="Muy Alta",'Mapa final'!#REF!="Moderado"),CONCATENATE("R6C",'Mapa final'!#REF!),"")</f>
        <v>#REF!</v>
      </c>
      <c r="X11" s="53" t="e">
        <f>IF(AND('Mapa final'!#REF!="Muy Alta",'Mapa final'!#REF!="Moderado"),CONCATENATE("R6C",'Mapa final'!#REF!),"")</f>
        <v>#REF!</v>
      </c>
      <c r="Y11" s="53" t="e">
        <f>IF(AND('Mapa final'!#REF!="Muy Alta",'Mapa final'!#REF!="Moderado"),CONCATENATE("R6C",'Mapa final'!#REF!),"")</f>
        <v>#REF!</v>
      </c>
      <c r="Z11" s="53" t="e">
        <f>IF(AND('Mapa final'!#REF!="Muy Alta",'Mapa final'!#REF!="Moderado"),CONCATENATE("R6C",'Mapa final'!#REF!),"")</f>
        <v>#REF!</v>
      </c>
      <c r="AA11" s="54" t="e">
        <f>IF(AND('Mapa final'!#REF!="Muy Alta",'Mapa final'!#REF!="Moderado"),CONCATENATE("R6C",'Mapa final'!#REF!),"")</f>
        <v>#REF!</v>
      </c>
      <c r="AB11" s="52" t="str">
        <f>IF(AND('Mapa final'!$Y$14="Muy Alta",'Mapa final'!$AA$14="Mayor"),CONCATENATE("R6C",'Mapa final'!$O$14),"")</f>
        <v/>
      </c>
      <c r="AC11" s="53" t="e">
        <f>IF(AND('Mapa final'!#REF!="Muy Alta",'Mapa final'!#REF!="Mayor"),CONCATENATE("R6C",'Mapa final'!#REF!),"")</f>
        <v>#REF!</v>
      </c>
      <c r="AD11" s="53" t="e">
        <f>IF(AND('Mapa final'!#REF!="Muy Alta",'Mapa final'!#REF!="Mayor"),CONCATENATE("R6C",'Mapa final'!#REF!),"")</f>
        <v>#REF!</v>
      </c>
      <c r="AE11" s="53" t="e">
        <f>IF(AND('Mapa final'!#REF!="Muy Alta",'Mapa final'!#REF!="Mayor"),CONCATENATE("R6C",'Mapa final'!#REF!),"")</f>
        <v>#REF!</v>
      </c>
      <c r="AF11" s="53" t="e">
        <f>IF(AND('Mapa final'!#REF!="Muy Alta",'Mapa final'!#REF!="Mayor"),CONCATENATE("R6C",'Mapa final'!#REF!),"")</f>
        <v>#REF!</v>
      </c>
      <c r="AG11" s="54" t="e">
        <f>IF(AND('Mapa final'!#REF!="Muy Alta",'Mapa final'!#REF!="Mayor"),CONCATENATE("R6C",'Mapa final'!#REF!),"")</f>
        <v>#REF!</v>
      </c>
      <c r="AH11" s="55" t="str">
        <f>IF(AND('Mapa final'!$Y$14="Muy Alta",'Mapa final'!$AA$14="Catastrófico"),CONCATENATE("R6C",'Mapa final'!$O$14),"")</f>
        <v/>
      </c>
      <c r="AI11" s="56" t="e">
        <f>IF(AND('Mapa final'!#REF!="Muy Alta",'Mapa final'!#REF!="Catastrófico"),CONCATENATE("R6C",'Mapa final'!#REF!),"")</f>
        <v>#REF!</v>
      </c>
      <c r="AJ11" s="56" t="e">
        <f>IF(AND('Mapa final'!#REF!="Muy Alta",'Mapa final'!#REF!="Catastrófico"),CONCATENATE("R6C",'Mapa final'!#REF!),"")</f>
        <v>#REF!</v>
      </c>
      <c r="AK11" s="56" t="e">
        <f>IF(AND('Mapa final'!#REF!="Muy Alta",'Mapa final'!#REF!="Catastrófico"),CONCATENATE("R6C",'Mapa final'!#REF!),"")</f>
        <v>#REF!</v>
      </c>
      <c r="AL11" s="56" t="e">
        <f>IF(AND('Mapa final'!#REF!="Muy Alta",'Mapa final'!#REF!="Catastrófico"),CONCATENATE("R6C",'Mapa final'!#REF!),"")</f>
        <v>#REF!</v>
      </c>
      <c r="AM11" s="57" t="e">
        <f>IF(AND('Mapa final'!#REF!="Muy Alta",'Mapa final'!#REF!="Catastrófico"),CONCATENATE("R6C",'Mapa final'!#REF!),"")</f>
        <v>#REF!</v>
      </c>
      <c r="AN11" s="83"/>
      <c r="AO11" s="353"/>
      <c r="AP11" s="354"/>
      <c r="AQ11" s="354"/>
      <c r="AR11" s="354"/>
      <c r="AS11" s="354"/>
      <c r="AT11" s="35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92"/>
      <c r="C12" s="292"/>
      <c r="D12" s="293"/>
      <c r="E12" s="333"/>
      <c r="F12" s="334"/>
      <c r="G12" s="334"/>
      <c r="H12" s="334"/>
      <c r="I12" s="335"/>
      <c r="J12" s="52" t="str">
        <f>IF(AND('Mapa final'!$Y$15="Muy Alta",'Mapa final'!$AA$15="Leve"),CONCATENATE("R7C",'Mapa final'!$O$15),"")</f>
        <v/>
      </c>
      <c r="K12" s="53" t="e">
        <f>IF(AND('Mapa final'!#REF!="Muy Alta",'Mapa final'!#REF!="Leve"),CONCATENATE("R7C",'Mapa final'!#REF!),"")</f>
        <v>#REF!</v>
      </c>
      <c r="L12" s="53" t="e">
        <f>IF(AND('Mapa final'!#REF!="Muy Alta",'Mapa final'!#REF!="Leve"),CONCATENATE("R7C",'Mapa final'!#REF!),"")</f>
        <v>#REF!</v>
      </c>
      <c r="M12" s="53" t="e">
        <f>IF(AND('Mapa final'!#REF!="Muy Alta",'Mapa final'!#REF!="Leve"),CONCATENATE("R7C",'Mapa final'!#REF!),"")</f>
        <v>#REF!</v>
      </c>
      <c r="N12" s="53" t="e">
        <f>IF(AND('Mapa final'!#REF!="Muy Alta",'Mapa final'!#REF!="Leve"),CONCATENATE("R7C",'Mapa final'!#REF!),"")</f>
        <v>#REF!</v>
      </c>
      <c r="O12" s="54" t="e">
        <f>IF(AND('Mapa final'!#REF!="Muy Alta",'Mapa final'!#REF!="Leve"),CONCATENATE("R7C",'Mapa final'!#REF!),"")</f>
        <v>#REF!</v>
      </c>
      <c r="P12" s="52" t="str">
        <f>IF(AND('Mapa final'!$Y$15="Muy Alta",'Mapa final'!$AA$15="Menor"),CONCATENATE("R7C",'Mapa final'!$O$15),"")</f>
        <v/>
      </c>
      <c r="Q12" s="53" t="e">
        <f>IF(AND('Mapa final'!#REF!="Muy Alta",'Mapa final'!#REF!="Menor"),CONCATENATE("R7C",'Mapa final'!#REF!),"")</f>
        <v>#REF!</v>
      </c>
      <c r="R12" s="53" t="e">
        <f>IF(AND('Mapa final'!#REF!="Muy Alta",'Mapa final'!#REF!="Menor"),CONCATENATE("R7C",'Mapa final'!#REF!),"")</f>
        <v>#REF!</v>
      </c>
      <c r="S12" s="53" t="e">
        <f>IF(AND('Mapa final'!#REF!="Muy Alta",'Mapa final'!#REF!="Menor"),CONCATENATE("R7C",'Mapa final'!#REF!),"")</f>
        <v>#REF!</v>
      </c>
      <c r="T12" s="53" t="e">
        <f>IF(AND('Mapa final'!#REF!="Muy Alta",'Mapa final'!#REF!="Menor"),CONCATENATE("R7C",'Mapa final'!#REF!),"")</f>
        <v>#REF!</v>
      </c>
      <c r="U12" s="54" t="e">
        <f>IF(AND('Mapa final'!#REF!="Muy Alta",'Mapa final'!#REF!="Menor"),CONCATENATE("R7C",'Mapa final'!#REF!),"")</f>
        <v>#REF!</v>
      </c>
      <c r="V12" s="52" t="str">
        <f>IF(AND('Mapa final'!$Y$15="Muy Alta",'Mapa final'!$AA$15="Moderado"),CONCATENATE("R7C",'Mapa final'!$O$15),"")</f>
        <v/>
      </c>
      <c r="W12" s="53" t="e">
        <f>IF(AND('Mapa final'!#REF!="Muy Alta",'Mapa final'!#REF!="Moderado"),CONCATENATE("R7C",'Mapa final'!#REF!),"")</f>
        <v>#REF!</v>
      </c>
      <c r="X12" s="53" t="e">
        <f>IF(AND('Mapa final'!#REF!="Muy Alta",'Mapa final'!#REF!="Moderado"),CONCATENATE("R7C",'Mapa final'!#REF!),"")</f>
        <v>#REF!</v>
      </c>
      <c r="Y12" s="53" t="e">
        <f>IF(AND('Mapa final'!#REF!="Muy Alta",'Mapa final'!#REF!="Moderado"),CONCATENATE("R7C",'Mapa final'!#REF!),"")</f>
        <v>#REF!</v>
      </c>
      <c r="Z12" s="53" t="e">
        <f>IF(AND('Mapa final'!#REF!="Muy Alta",'Mapa final'!#REF!="Moderado"),CONCATENATE("R7C",'Mapa final'!#REF!),"")</f>
        <v>#REF!</v>
      </c>
      <c r="AA12" s="54" t="e">
        <f>IF(AND('Mapa final'!#REF!="Muy Alta",'Mapa final'!#REF!="Moderado"),CONCATENATE("R7C",'Mapa final'!#REF!),"")</f>
        <v>#REF!</v>
      </c>
      <c r="AB12" s="52" t="str">
        <f>IF(AND('Mapa final'!$Y$15="Muy Alta",'Mapa final'!$AA$15="Mayor"),CONCATENATE("R7C",'Mapa final'!$O$15),"")</f>
        <v/>
      </c>
      <c r="AC12" s="53" t="e">
        <f>IF(AND('Mapa final'!#REF!="Muy Alta",'Mapa final'!#REF!="Mayor"),CONCATENATE("R7C",'Mapa final'!#REF!),"")</f>
        <v>#REF!</v>
      </c>
      <c r="AD12" s="53" t="e">
        <f>IF(AND('Mapa final'!#REF!="Muy Alta",'Mapa final'!#REF!="Mayor"),CONCATENATE("R7C",'Mapa final'!#REF!),"")</f>
        <v>#REF!</v>
      </c>
      <c r="AE12" s="53" t="e">
        <f>IF(AND('Mapa final'!#REF!="Muy Alta",'Mapa final'!#REF!="Mayor"),CONCATENATE("R7C",'Mapa final'!#REF!),"")</f>
        <v>#REF!</v>
      </c>
      <c r="AF12" s="53" t="e">
        <f>IF(AND('Mapa final'!#REF!="Muy Alta",'Mapa final'!#REF!="Mayor"),CONCATENATE("R7C",'Mapa final'!#REF!),"")</f>
        <v>#REF!</v>
      </c>
      <c r="AG12" s="54" t="e">
        <f>IF(AND('Mapa final'!#REF!="Muy Alta",'Mapa final'!#REF!="Mayor"),CONCATENATE("R7C",'Mapa final'!#REF!),"")</f>
        <v>#REF!</v>
      </c>
      <c r="AH12" s="55" t="str">
        <f>IF(AND('Mapa final'!$Y$15="Muy Alta",'Mapa final'!$AA$15="Catastrófico"),CONCATENATE("R7C",'Mapa final'!$O$15),"")</f>
        <v/>
      </c>
      <c r="AI12" s="56" t="e">
        <f>IF(AND('Mapa final'!#REF!="Muy Alta",'Mapa final'!#REF!="Catastrófico"),CONCATENATE("R7C",'Mapa final'!#REF!),"")</f>
        <v>#REF!</v>
      </c>
      <c r="AJ12" s="56" t="e">
        <f>IF(AND('Mapa final'!#REF!="Muy Alta",'Mapa final'!#REF!="Catastrófico"),CONCATENATE("R7C",'Mapa final'!#REF!),"")</f>
        <v>#REF!</v>
      </c>
      <c r="AK12" s="56" t="e">
        <f>IF(AND('Mapa final'!#REF!="Muy Alta",'Mapa final'!#REF!="Catastrófico"),CONCATENATE("R7C",'Mapa final'!#REF!),"")</f>
        <v>#REF!</v>
      </c>
      <c r="AL12" s="56" t="e">
        <f>IF(AND('Mapa final'!#REF!="Muy Alta",'Mapa final'!#REF!="Catastrófico"),CONCATENATE("R7C",'Mapa final'!#REF!),"")</f>
        <v>#REF!</v>
      </c>
      <c r="AM12" s="57" t="e">
        <f>IF(AND('Mapa final'!#REF!="Muy Alta",'Mapa final'!#REF!="Catastrófico"),CONCATENATE("R7C",'Mapa final'!#REF!),"")</f>
        <v>#REF!</v>
      </c>
      <c r="AN12" s="83"/>
      <c r="AO12" s="353"/>
      <c r="AP12" s="354"/>
      <c r="AQ12" s="354"/>
      <c r="AR12" s="354"/>
      <c r="AS12" s="354"/>
      <c r="AT12" s="35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92"/>
      <c r="C13" s="292"/>
      <c r="D13" s="293"/>
      <c r="E13" s="333"/>
      <c r="F13" s="334"/>
      <c r="G13" s="334"/>
      <c r="H13" s="334"/>
      <c r="I13" s="335"/>
      <c r="J13" s="52" t="str">
        <f>IF(AND('Mapa final'!$Y$16="Muy Alta",'Mapa final'!$AA$16="Leve"),CONCATENATE("R8C",'Mapa final'!$O$16),"")</f>
        <v/>
      </c>
      <c r="K13" s="53" t="str">
        <f>IF(AND('Mapa final'!$Y$17="Muy Alta",'Mapa final'!$AA$17="Leve"),CONCATENATE("R8C",'Mapa final'!$O$17),"")</f>
        <v/>
      </c>
      <c r="L13" s="53" t="str">
        <f>IF(AND('Mapa final'!$Y$18="Muy Alta",'Mapa final'!$AA$18="Leve"),CONCATENATE("R8C",'Mapa final'!$O$18),"")</f>
        <v/>
      </c>
      <c r="M13" s="53" t="str">
        <f>IF(AND('Mapa final'!$Y$19="Muy Alta",'Mapa final'!$AA$19="Leve"),CONCATENATE("R8C",'Mapa final'!$O$19),"")</f>
        <v/>
      </c>
      <c r="N13" s="53" t="str">
        <f>IF(AND('Mapa final'!$Y$20="Muy Alta",'Mapa final'!$AA$20="Leve"),CONCATENATE("R8C",'Mapa final'!$O$20),"")</f>
        <v/>
      </c>
      <c r="O13" s="54" t="str">
        <f>IF(AND('Mapa final'!$Y$21="Muy Alta",'Mapa final'!$AA$21="Leve"),CONCATENATE("R8C",'Mapa final'!$O$21),"")</f>
        <v/>
      </c>
      <c r="P13" s="52" t="str">
        <f>IF(AND('Mapa final'!$Y$16="Muy Alta",'Mapa final'!$AA$16="Menor"),CONCATENATE("R8C",'Mapa final'!$O$16),"")</f>
        <v/>
      </c>
      <c r="Q13" s="53" t="str">
        <f>IF(AND('Mapa final'!$Y$17="Muy Alta",'Mapa final'!$AA$17="Menor"),CONCATENATE("R8C",'Mapa final'!$O$17),"")</f>
        <v/>
      </c>
      <c r="R13" s="53" t="str">
        <f>IF(AND('Mapa final'!$Y$18="Muy Alta",'Mapa final'!$AA$18="Menor"),CONCATENATE("R8C",'Mapa final'!$O$18),"")</f>
        <v/>
      </c>
      <c r="S13" s="53" t="str">
        <f>IF(AND('Mapa final'!$Y$19="Muy Alta",'Mapa final'!$AA$19="Menor"),CONCATENATE("R8C",'Mapa final'!$O$19),"")</f>
        <v/>
      </c>
      <c r="T13" s="53" t="str">
        <f>IF(AND('Mapa final'!$Y$20="Muy Alta",'Mapa final'!$AA$20="Menor"),CONCATENATE("R8C",'Mapa final'!$O$20),"")</f>
        <v/>
      </c>
      <c r="U13" s="54" t="str">
        <f>IF(AND('Mapa final'!$Y$21="Muy Alta",'Mapa final'!$AA$21="Menor"),CONCATENATE("R8C",'Mapa final'!$O$21),"")</f>
        <v/>
      </c>
      <c r="V13" s="52" t="str">
        <f>IF(AND('Mapa final'!$Y$16="Muy Alta",'Mapa final'!$AA$16="Moderado"),CONCATENATE("R8C",'Mapa final'!$O$16),"")</f>
        <v/>
      </c>
      <c r="W13" s="53" t="str">
        <f>IF(AND('Mapa final'!$Y$17="Muy Alta",'Mapa final'!$AA$17="Moderado"),CONCATENATE("R8C",'Mapa final'!$O$17),"")</f>
        <v/>
      </c>
      <c r="X13" s="53" t="str">
        <f>IF(AND('Mapa final'!$Y$18="Muy Alta",'Mapa final'!$AA$18="Moderado"),CONCATENATE("R8C",'Mapa final'!$O$18),"")</f>
        <v/>
      </c>
      <c r="Y13" s="53" t="str">
        <f>IF(AND('Mapa final'!$Y$19="Muy Alta",'Mapa final'!$AA$19="Moderado"),CONCATENATE("R8C",'Mapa final'!$O$19),"")</f>
        <v/>
      </c>
      <c r="Z13" s="53" t="str">
        <f>IF(AND('Mapa final'!$Y$20="Muy Alta",'Mapa final'!$AA$20="Moderado"),CONCATENATE("R8C",'Mapa final'!$O$20),"")</f>
        <v/>
      </c>
      <c r="AA13" s="54" t="str">
        <f>IF(AND('Mapa final'!$Y$21="Muy Alta",'Mapa final'!$AA$21="Moderado"),CONCATENATE("R8C",'Mapa final'!$O$21),"")</f>
        <v/>
      </c>
      <c r="AB13" s="52" t="str">
        <f>IF(AND('Mapa final'!$Y$16="Muy Alta",'Mapa final'!$AA$16="Mayor"),CONCATENATE("R8C",'Mapa final'!$O$16),"")</f>
        <v/>
      </c>
      <c r="AC13" s="53" t="str">
        <f>IF(AND('Mapa final'!$Y$17="Muy Alta",'Mapa final'!$AA$17="Mayor"),CONCATENATE("R8C",'Mapa final'!$O$17),"")</f>
        <v/>
      </c>
      <c r="AD13" s="53" t="str">
        <f>IF(AND('Mapa final'!$Y$18="Muy Alta",'Mapa final'!$AA$18="Mayor"),CONCATENATE("R8C",'Mapa final'!$O$18),"")</f>
        <v/>
      </c>
      <c r="AE13" s="53" t="str">
        <f>IF(AND('Mapa final'!$Y$19="Muy Alta",'Mapa final'!$AA$19="Mayor"),CONCATENATE("R8C",'Mapa final'!$O$19),"")</f>
        <v/>
      </c>
      <c r="AF13" s="53" t="str">
        <f>IF(AND('Mapa final'!$Y$20="Muy Alta",'Mapa final'!$AA$20="Mayor"),CONCATENATE("R8C",'Mapa final'!$O$20),"")</f>
        <v/>
      </c>
      <c r="AG13" s="54" t="str">
        <f>IF(AND('Mapa final'!$Y$21="Muy Alta",'Mapa final'!$AA$21="Mayor"),CONCATENATE("R8C",'Mapa final'!$O$21),"")</f>
        <v/>
      </c>
      <c r="AH13" s="55" t="str">
        <f>IF(AND('Mapa final'!$Y$16="Muy Alta",'Mapa final'!$AA$16="Catastrófico"),CONCATENATE("R8C",'Mapa final'!$O$16),"")</f>
        <v/>
      </c>
      <c r="AI13" s="56" t="str">
        <f>IF(AND('Mapa final'!$Y$17="Muy Alta",'Mapa final'!$AA$17="Catastrófico"),CONCATENATE("R8C",'Mapa final'!$O$17),"")</f>
        <v/>
      </c>
      <c r="AJ13" s="56" t="str">
        <f>IF(AND('Mapa final'!$Y$18="Muy Alta",'Mapa final'!$AA$18="Catastrófico"),CONCATENATE("R8C",'Mapa final'!$O$18),"")</f>
        <v/>
      </c>
      <c r="AK13" s="56" t="str">
        <f>IF(AND('Mapa final'!$Y$19="Muy Alta",'Mapa final'!$AA$19="Catastrófico"),CONCATENATE("R8C",'Mapa final'!$O$19),"")</f>
        <v/>
      </c>
      <c r="AL13" s="56" t="str">
        <f>IF(AND('Mapa final'!$Y$20="Muy Alta",'Mapa final'!$AA$20="Catastrófico"),CONCATENATE("R8C",'Mapa final'!$O$20),"")</f>
        <v/>
      </c>
      <c r="AM13" s="57" t="str">
        <f>IF(AND('Mapa final'!$Y$21="Muy Alta",'Mapa final'!$AA$21="Catastrófico"),CONCATENATE("R8C",'Mapa final'!$O$21),"")</f>
        <v/>
      </c>
      <c r="AN13" s="83"/>
      <c r="AO13" s="353"/>
      <c r="AP13" s="354"/>
      <c r="AQ13" s="354"/>
      <c r="AR13" s="354"/>
      <c r="AS13" s="354"/>
      <c r="AT13" s="35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92"/>
      <c r="C14" s="292"/>
      <c r="D14" s="293"/>
      <c r="E14" s="333"/>
      <c r="F14" s="334"/>
      <c r="G14" s="334"/>
      <c r="H14" s="334"/>
      <c r="I14" s="335"/>
      <c r="J14" s="52" t="str">
        <f>IF(AND('Mapa final'!$Y$22="Muy Alta",'Mapa final'!$AA$22="Leve"),CONCATENATE("R9C",'Mapa final'!$O$22),"")</f>
        <v/>
      </c>
      <c r="K14" s="53" t="str">
        <f>IF(AND('Mapa final'!$Y$23="Muy Alta",'Mapa final'!$AA$23="Leve"),CONCATENATE("R9C",'Mapa final'!$O$23),"")</f>
        <v/>
      </c>
      <c r="L14" s="53" t="str">
        <f>IF(AND('Mapa final'!$Y$24="Muy Alta",'Mapa final'!$AA$24="Leve"),CONCATENATE("R9C",'Mapa final'!$O$24),"")</f>
        <v/>
      </c>
      <c r="M14" s="53" t="str">
        <f>IF(AND('Mapa final'!$Y$25="Muy Alta",'Mapa final'!$AA$25="Leve"),CONCATENATE("R9C",'Mapa final'!$O$25),"")</f>
        <v/>
      </c>
      <c r="N14" s="53" t="str">
        <f>IF(AND('Mapa final'!$Y$26="Muy Alta",'Mapa final'!$AA$26="Leve"),CONCATENATE("R9C",'Mapa final'!$O$26),"")</f>
        <v/>
      </c>
      <c r="O14" s="54" t="str">
        <f>IF(AND('Mapa final'!$Y$27="Muy Alta",'Mapa final'!$AA$27="Leve"),CONCATENATE("R9C",'Mapa final'!$O$27),"")</f>
        <v/>
      </c>
      <c r="P14" s="52" t="str">
        <f>IF(AND('Mapa final'!$Y$22="Muy Alta",'Mapa final'!$AA$22="Menor"),CONCATENATE("R9C",'Mapa final'!$O$22),"")</f>
        <v/>
      </c>
      <c r="Q14" s="53" t="str">
        <f>IF(AND('Mapa final'!$Y$23="Muy Alta",'Mapa final'!$AA$23="Menor"),CONCATENATE("R9C",'Mapa final'!$O$23),"")</f>
        <v/>
      </c>
      <c r="R14" s="53" t="str">
        <f>IF(AND('Mapa final'!$Y$24="Muy Alta",'Mapa final'!$AA$24="Menor"),CONCATENATE("R9C",'Mapa final'!$O$24),"")</f>
        <v/>
      </c>
      <c r="S14" s="53" t="str">
        <f>IF(AND('Mapa final'!$Y$25="Muy Alta",'Mapa final'!$AA$25="Menor"),CONCATENATE("R9C",'Mapa final'!$O$25),"")</f>
        <v/>
      </c>
      <c r="T14" s="53" t="str">
        <f>IF(AND('Mapa final'!$Y$26="Muy Alta",'Mapa final'!$AA$26="Menor"),CONCATENATE("R9C",'Mapa final'!$O$26),"")</f>
        <v/>
      </c>
      <c r="U14" s="54" t="str">
        <f>IF(AND('Mapa final'!$Y$27="Muy Alta",'Mapa final'!$AA$27="Menor"),CONCATENATE("R9C",'Mapa final'!$O$27),"")</f>
        <v/>
      </c>
      <c r="V14" s="52" t="str">
        <f>IF(AND('Mapa final'!$Y$22="Muy Alta",'Mapa final'!$AA$22="Moderado"),CONCATENATE("R9C",'Mapa final'!$O$22),"")</f>
        <v/>
      </c>
      <c r="W14" s="53" t="str">
        <f>IF(AND('Mapa final'!$Y$23="Muy Alta",'Mapa final'!$AA$23="Moderado"),CONCATENATE("R9C",'Mapa final'!$O$23),"")</f>
        <v/>
      </c>
      <c r="X14" s="53" t="str">
        <f>IF(AND('Mapa final'!$Y$24="Muy Alta",'Mapa final'!$AA$24="Moderado"),CONCATENATE("R9C",'Mapa final'!$O$24),"")</f>
        <v/>
      </c>
      <c r="Y14" s="53" t="str">
        <f>IF(AND('Mapa final'!$Y$25="Muy Alta",'Mapa final'!$AA$25="Moderado"),CONCATENATE("R9C",'Mapa final'!$O$25),"")</f>
        <v/>
      </c>
      <c r="Z14" s="53" t="str">
        <f>IF(AND('Mapa final'!$Y$26="Muy Alta",'Mapa final'!$AA$26="Moderado"),CONCATENATE("R9C",'Mapa final'!$O$26),"")</f>
        <v/>
      </c>
      <c r="AA14" s="54" t="str">
        <f>IF(AND('Mapa final'!$Y$27="Muy Alta",'Mapa final'!$AA$27="Moderado"),CONCATENATE("R9C",'Mapa final'!$O$27),"")</f>
        <v/>
      </c>
      <c r="AB14" s="52" t="str">
        <f>IF(AND('Mapa final'!$Y$22="Muy Alta",'Mapa final'!$AA$22="Mayor"),CONCATENATE("R9C",'Mapa final'!$O$22),"")</f>
        <v/>
      </c>
      <c r="AC14" s="53" t="str">
        <f>IF(AND('Mapa final'!$Y$23="Muy Alta",'Mapa final'!$AA$23="Mayor"),CONCATENATE("R9C",'Mapa final'!$O$23),"")</f>
        <v/>
      </c>
      <c r="AD14" s="53" t="str">
        <f>IF(AND('Mapa final'!$Y$24="Muy Alta",'Mapa final'!$AA$24="Mayor"),CONCATENATE("R9C",'Mapa final'!$O$24),"")</f>
        <v/>
      </c>
      <c r="AE14" s="53" t="str">
        <f>IF(AND('Mapa final'!$Y$25="Muy Alta",'Mapa final'!$AA$25="Mayor"),CONCATENATE("R9C",'Mapa final'!$O$25),"")</f>
        <v/>
      </c>
      <c r="AF14" s="53" t="str">
        <f>IF(AND('Mapa final'!$Y$26="Muy Alta",'Mapa final'!$AA$26="Mayor"),CONCATENATE("R9C",'Mapa final'!$O$26),"")</f>
        <v/>
      </c>
      <c r="AG14" s="54" t="str">
        <f>IF(AND('Mapa final'!$Y$27="Muy Alta",'Mapa final'!$AA$27="Mayor"),CONCATENATE("R9C",'Mapa final'!$O$27),"")</f>
        <v/>
      </c>
      <c r="AH14" s="55" t="str">
        <f>IF(AND('Mapa final'!$Y$22="Muy Alta",'Mapa final'!$AA$22="Catastrófico"),CONCATENATE("R9C",'Mapa final'!$O$22),"")</f>
        <v/>
      </c>
      <c r="AI14" s="56" t="str">
        <f>IF(AND('Mapa final'!$Y$23="Muy Alta",'Mapa final'!$AA$23="Catastrófico"),CONCATENATE("R9C",'Mapa final'!$O$23),"")</f>
        <v/>
      </c>
      <c r="AJ14" s="56" t="str">
        <f>IF(AND('Mapa final'!$Y$24="Muy Alta",'Mapa final'!$AA$24="Catastrófico"),CONCATENATE("R9C",'Mapa final'!$O$24),"")</f>
        <v/>
      </c>
      <c r="AK14" s="56" t="str">
        <f>IF(AND('Mapa final'!$Y$25="Muy Alta",'Mapa final'!$AA$25="Catastrófico"),CONCATENATE("R9C",'Mapa final'!$O$25),"")</f>
        <v/>
      </c>
      <c r="AL14" s="56" t="str">
        <f>IF(AND('Mapa final'!$Y$26="Muy Alta",'Mapa final'!$AA$26="Catastrófico"),CONCATENATE("R9C",'Mapa final'!$O$26),"")</f>
        <v/>
      </c>
      <c r="AM14" s="57" t="str">
        <f>IF(AND('Mapa final'!$Y$27="Muy Alta",'Mapa final'!$AA$27="Catastrófico"),CONCATENATE("R9C",'Mapa final'!$O$27),"")</f>
        <v/>
      </c>
      <c r="AN14" s="83"/>
      <c r="AO14" s="353"/>
      <c r="AP14" s="354"/>
      <c r="AQ14" s="354"/>
      <c r="AR14" s="354"/>
      <c r="AS14" s="354"/>
      <c r="AT14" s="35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92"/>
      <c r="C15" s="292"/>
      <c r="D15" s="293"/>
      <c r="E15" s="336"/>
      <c r="F15" s="337"/>
      <c r="G15" s="337"/>
      <c r="H15" s="337"/>
      <c r="I15" s="338"/>
      <c r="J15" s="58" t="str">
        <f>IF(AND('Mapa final'!$Y$28="Muy Alta",'Mapa final'!$AA$28="Leve"),CONCATENATE("R10C",'Mapa final'!$O$28),"")</f>
        <v/>
      </c>
      <c r="K15" s="59" t="str">
        <f>IF(AND('Mapa final'!$Y$29="Muy Alta",'Mapa final'!$AA$29="Leve"),CONCATENATE("R10C",'Mapa final'!$O$29),"")</f>
        <v/>
      </c>
      <c r="L15" s="59" t="str">
        <f>IF(AND('Mapa final'!$Y$30="Muy Alta",'Mapa final'!$AA$30="Leve"),CONCATENATE("R10C",'Mapa final'!$O$30),"")</f>
        <v/>
      </c>
      <c r="M15" s="59" t="str">
        <f>IF(AND('Mapa final'!$Y$31="Muy Alta",'Mapa final'!$AA$31="Leve"),CONCATENATE("R10C",'Mapa final'!$O$31),"")</f>
        <v/>
      </c>
      <c r="N15" s="59" t="str">
        <f>IF(AND('Mapa final'!$Y$32="Muy Alta",'Mapa final'!$AA$32="Leve"),CONCATENATE("R10C",'Mapa final'!$O$32),"")</f>
        <v/>
      </c>
      <c r="O15" s="60" t="str">
        <f>IF(AND('Mapa final'!$Y$33="Muy Alta",'Mapa final'!$AA$33="Leve"),CONCATENATE("R10C",'Mapa final'!$O$33),"")</f>
        <v/>
      </c>
      <c r="P15" s="52" t="str">
        <f>IF(AND('Mapa final'!$Y$28="Muy Alta",'Mapa final'!$AA$28="Menor"),CONCATENATE("R10C",'Mapa final'!$O$28),"")</f>
        <v/>
      </c>
      <c r="Q15" s="53" t="str">
        <f>IF(AND('Mapa final'!$Y$29="Muy Alta",'Mapa final'!$AA$29="Menor"),CONCATENATE("R10C",'Mapa final'!$O$29),"")</f>
        <v/>
      </c>
      <c r="R15" s="53" t="str">
        <f>IF(AND('Mapa final'!$Y$30="Muy Alta",'Mapa final'!$AA$30="Menor"),CONCATENATE("R10C",'Mapa final'!$O$30),"")</f>
        <v/>
      </c>
      <c r="S15" s="53" t="str">
        <f>IF(AND('Mapa final'!$Y$31="Muy Alta",'Mapa final'!$AA$31="Menor"),CONCATENATE("R10C",'Mapa final'!$O$31),"")</f>
        <v/>
      </c>
      <c r="T15" s="53" t="str">
        <f>IF(AND('Mapa final'!$Y$32="Muy Alta",'Mapa final'!$AA$32="Menor"),CONCATENATE("R10C",'Mapa final'!$O$32),"")</f>
        <v/>
      </c>
      <c r="U15" s="54" t="str">
        <f>IF(AND('Mapa final'!$Y$33="Muy Alta",'Mapa final'!$AA$33="Menor"),CONCATENATE("R10C",'Mapa final'!$O$33),"")</f>
        <v/>
      </c>
      <c r="V15" s="58" t="str">
        <f>IF(AND('Mapa final'!$Y$28="Muy Alta",'Mapa final'!$AA$28="Moderado"),CONCATENATE("R10C",'Mapa final'!$O$28),"")</f>
        <v/>
      </c>
      <c r="W15" s="59" t="str">
        <f>IF(AND('Mapa final'!$Y$29="Muy Alta",'Mapa final'!$AA$29="Moderado"),CONCATENATE("R10C",'Mapa final'!$O$29),"")</f>
        <v/>
      </c>
      <c r="X15" s="59" t="str">
        <f>IF(AND('Mapa final'!$Y$30="Muy Alta",'Mapa final'!$AA$30="Moderado"),CONCATENATE("R10C",'Mapa final'!$O$30),"")</f>
        <v/>
      </c>
      <c r="Y15" s="59" t="str">
        <f>IF(AND('Mapa final'!$Y$31="Muy Alta",'Mapa final'!$AA$31="Moderado"),CONCATENATE("R10C",'Mapa final'!$O$31),"")</f>
        <v/>
      </c>
      <c r="Z15" s="59" t="str">
        <f>IF(AND('Mapa final'!$Y$32="Muy Alta",'Mapa final'!$AA$32="Moderado"),CONCATENATE("R10C",'Mapa final'!$O$32),"")</f>
        <v/>
      </c>
      <c r="AA15" s="60" t="str">
        <f>IF(AND('Mapa final'!$Y$33="Muy Alta",'Mapa final'!$AA$33="Moderado"),CONCATENATE("R10C",'Mapa final'!$O$33),"")</f>
        <v/>
      </c>
      <c r="AB15" s="52" t="str">
        <f>IF(AND('Mapa final'!$Y$28="Muy Alta",'Mapa final'!$AA$28="Mayor"),CONCATENATE("R10C",'Mapa final'!$O$28),"")</f>
        <v/>
      </c>
      <c r="AC15" s="53" t="str">
        <f>IF(AND('Mapa final'!$Y$29="Muy Alta",'Mapa final'!$AA$29="Mayor"),CONCATENATE("R10C",'Mapa final'!$O$29),"")</f>
        <v/>
      </c>
      <c r="AD15" s="53" t="str">
        <f>IF(AND('Mapa final'!$Y$30="Muy Alta",'Mapa final'!$AA$30="Mayor"),CONCATENATE("R10C",'Mapa final'!$O$30),"")</f>
        <v/>
      </c>
      <c r="AE15" s="53" t="str">
        <f>IF(AND('Mapa final'!$Y$31="Muy Alta",'Mapa final'!$AA$31="Mayor"),CONCATENATE("R10C",'Mapa final'!$O$31),"")</f>
        <v/>
      </c>
      <c r="AF15" s="53" t="str">
        <f>IF(AND('Mapa final'!$Y$32="Muy Alta",'Mapa final'!$AA$32="Mayor"),CONCATENATE("R10C",'Mapa final'!$O$32),"")</f>
        <v/>
      </c>
      <c r="AG15" s="54" t="str">
        <f>IF(AND('Mapa final'!$Y$33="Muy Alta",'Mapa final'!$AA$33="Mayor"),CONCATENATE("R10C",'Mapa final'!$O$33),"")</f>
        <v/>
      </c>
      <c r="AH15" s="61" t="str">
        <f>IF(AND('Mapa final'!$Y$28="Muy Alta",'Mapa final'!$AA$28="Catastrófico"),CONCATENATE("R10C",'Mapa final'!$O$28),"")</f>
        <v/>
      </c>
      <c r="AI15" s="62" t="str">
        <f>IF(AND('Mapa final'!$Y$29="Muy Alta",'Mapa final'!$AA$29="Catastrófico"),CONCATENATE("R10C",'Mapa final'!$O$29),"")</f>
        <v/>
      </c>
      <c r="AJ15" s="62" t="str">
        <f>IF(AND('Mapa final'!$Y$30="Muy Alta",'Mapa final'!$AA$30="Catastrófico"),CONCATENATE("R10C",'Mapa final'!$O$30),"")</f>
        <v/>
      </c>
      <c r="AK15" s="62" t="str">
        <f>IF(AND('Mapa final'!$Y$31="Muy Alta",'Mapa final'!$AA$31="Catastrófico"),CONCATENATE("R10C",'Mapa final'!$O$31),"")</f>
        <v/>
      </c>
      <c r="AL15" s="62" t="str">
        <f>IF(AND('Mapa final'!$Y$32="Muy Alta",'Mapa final'!$AA$32="Catastrófico"),CONCATENATE("R10C",'Mapa final'!$O$32),"")</f>
        <v/>
      </c>
      <c r="AM15" s="63" t="str">
        <f>IF(AND('Mapa final'!$Y$33="Muy Alta",'Mapa final'!$AA$33="Catastrófico"),CONCATENATE("R10C",'Mapa final'!$O$33),"")</f>
        <v/>
      </c>
      <c r="AN15" s="83"/>
      <c r="AO15" s="356"/>
      <c r="AP15" s="357"/>
      <c r="AQ15" s="357"/>
      <c r="AR15" s="357"/>
      <c r="AS15" s="357"/>
      <c r="AT15" s="35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92"/>
      <c r="C16" s="292"/>
      <c r="D16" s="293"/>
      <c r="E16" s="330" t="s">
        <v>115</v>
      </c>
      <c r="F16" s="331"/>
      <c r="G16" s="331"/>
      <c r="H16" s="331"/>
      <c r="I16" s="331"/>
      <c r="J16" s="64" t="str">
        <f>IF(AND('Mapa final'!$Y$10="Alta",'Mapa final'!$AA$10="Leve"),CONCATENATE("R1C",'Mapa final'!$O$10),"")</f>
        <v/>
      </c>
      <c r="K16" s="65" t="e">
        <f>IF(AND('Mapa final'!#REF!="Alta",'Mapa final'!#REF!="Leve"),CONCATENATE("R1C",'Mapa final'!#REF!),"")</f>
        <v>#REF!</v>
      </c>
      <c r="L16" s="65" t="e">
        <f>IF(AND('Mapa final'!#REF!="Alta",'Mapa final'!#REF!="Leve"),CONCATENATE("R1C",'Mapa final'!#REF!),"")</f>
        <v>#REF!</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str">
        <f>IF(AND('Mapa final'!$Y$10="Alta",'Mapa final'!$AA$10="Menor"),CONCATENATE("R1C",'Mapa final'!$O$10),"")</f>
        <v/>
      </c>
      <c r="Q16" s="65" t="e">
        <f>IF(AND('Mapa final'!#REF!="Alta",'Mapa final'!#REF!="Menor"),CONCATENATE("R1C",'Mapa final'!#REF!),"")</f>
        <v>#REF!</v>
      </c>
      <c r="R16" s="65" t="e">
        <f>IF(AND('Mapa final'!#REF!="Alta",'Mapa final'!#REF!="Menor"),CONCATENATE("R1C",'Mapa final'!#REF!),"")</f>
        <v>#REF!</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str">
        <f>IF(AND('Mapa final'!$Y$10="Alta",'Mapa final'!$AA$10="Moderado"),CONCATENATE("R1C",'Mapa final'!$O$10),"")</f>
        <v/>
      </c>
      <c r="W16" s="47" t="e">
        <f>IF(AND('Mapa final'!#REF!="Alta",'Mapa final'!#REF!="Moderado"),CONCATENATE("R1C",'Mapa final'!#REF!),"")</f>
        <v>#REF!</v>
      </c>
      <c r="X16" s="47" t="e">
        <f>IF(AND('Mapa final'!#REF!="Alta",'Mapa final'!#REF!="Moderado"),CONCATENATE("R1C",'Mapa final'!#REF!),"")</f>
        <v>#REF!</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IF(AND('Mapa final'!$Y$10="Alta",'Mapa final'!$AA$10="Mayor"),CONCATENATE("R1C",'Mapa final'!$O$10),"")</f>
        <v/>
      </c>
      <c r="AC16" s="47" t="e">
        <f>IF(AND('Mapa final'!#REF!="Alta",'Mapa final'!#REF!="Mayor"),CONCATENATE("R1C",'Mapa final'!#REF!),"")</f>
        <v>#REF!</v>
      </c>
      <c r="AD16" s="47" t="e">
        <f>IF(AND('Mapa final'!#REF!="Alta",'Mapa final'!#REF!="Mayor"),CONCATENATE("R1C",'Mapa final'!#REF!),"")</f>
        <v>#REF!</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IF(AND('Mapa final'!$Y$10="Alta",'Mapa final'!$AA$10="Catastrófico"),CONCATENATE("R1C",'Mapa final'!$O$10),"")</f>
        <v/>
      </c>
      <c r="AI16" s="50" t="e">
        <f>IF(AND('Mapa final'!#REF!="Alta",'Mapa final'!#REF!="Catastrófico"),CONCATENATE("R1C",'Mapa final'!#REF!),"")</f>
        <v>#REF!</v>
      </c>
      <c r="AJ16" s="50" t="e">
        <f>IF(AND('Mapa final'!#REF!="Alta",'Mapa final'!#REF!="Catastrófico"),CONCATENATE("R1C",'Mapa final'!#REF!),"")</f>
        <v>#REF!</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40" t="s">
        <v>80</v>
      </c>
      <c r="AP16" s="341"/>
      <c r="AQ16" s="341"/>
      <c r="AR16" s="341"/>
      <c r="AS16" s="341"/>
      <c r="AT16" s="34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92"/>
      <c r="C17" s="292"/>
      <c r="D17" s="293"/>
      <c r="E17" s="349"/>
      <c r="F17" s="334"/>
      <c r="G17" s="334"/>
      <c r="H17" s="334"/>
      <c r="I17" s="334"/>
      <c r="J17" s="67" t="e">
        <f>IF(AND('Mapa final'!#REF!="Alta",'Mapa final'!#REF!="Leve"),CONCATENATE("R2C",'Mapa final'!#REF!),"")</f>
        <v>#REF!</v>
      </c>
      <c r="K17" s="68" t="e">
        <f>IF(AND('Mapa final'!#REF!="Alta",'Mapa final'!#REF!="Leve"),CONCATENATE("R2C",'Mapa final'!#REF!),"")</f>
        <v>#REF!</v>
      </c>
      <c r="L17" s="68" t="e">
        <f>IF(AND('Mapa final'!#REF!="Alta",'Mapa final'!#REF!="Leve"),CONCATENATE("R2C",'Mapa final'!#REF!),"")</f>
        <v>#REF!</v>
      </c>
      <c r="M17" s="68" t="e">
        <f>IF(AND('Mapa final'!#REF!="Alta",'Mapa final'!#REF!="Leve"),CONCATENATE("R2C",'Mapa final'!#REF!),"")</f>
        <v>#REF!</v>
      </c>
      <c r="N17" s="68" t="e">
        <f>IF(AND('Mapa final'!#REF!="Alta",'Mapa final'!#REF!="Leve"),CONCATENATE("R2C",'Mapa final'!#REF!),"")</f>
        <v>#REF!</v>
      </c>
      <c r="O17" s="69" t="e">
        <f>IF(AND('Mapa final'!#REF!="Alta",'Mapa final'!#REF!="Leve"),CONCATENATE("R2C",'Mapa final'!#REF!),"")</f>
        <v>#REF!</v>
      </c>
      <c r="P17" s="67" t="e">
        <f>IF(AND('Mapa final'!#REF!="Alta",'Mapa final'!#REF!="Menor"),CONCATENATE("R2C",'Mapa final'!#REF!),"")</f>
        <v>#REF!</v>
      </c>
      <c r="Q17" s="68" t="e">
        <f>IF(AND('Mapa final'!#REF!="Alta",'Mapa final'!#REF!="Menor"),CONCATENATE("R2C",'Mapa final'!#REF!),"")</f>
        <v>#REF!</v>
      </c>
      <c r="R17" s="68" t="e">
        <f>IF(AND('Mapa final'!#REF!="Alta",'Mapa final'!#REF!="Menor"),CONCATENATE("R2C",'Mapa final'!#REF!),"")</f>
        <v>#REF!</v>
      </c>
      <c r="S17" s="68" t="e">
        <f>IF(AND('Mapa final'!#REF!="Alta",'Mapa final'!#REF!="Menor"),CONCATENATE("R2C",'Mapa final'!#REF!),"")</f>
        <v>#REF!</v>
      </c>
      <c r="T17" s="68" t="e">
        <f>IF(AND('Mapa final'!#REF!="Alta",'Mapa final'!#REF!="Menor"),CONCATENATE("R2C",'Mapa final'!#REF!),"")</f>
        <v>#REF!</v>
      </c>
      <c r="U17" s="69" t="e">
        <f>IF(AND('Mapa final'!#REF!="Alta",'Mapa final'!#REF!="Menor"),CONCATENATE("R2C",'Mapa final'!#REF!),"")</f>
        <v>#REF!</v>
      </c>
      <c r="V17" s="52" t="e">
        <f>IF(AND('Mapa final'!#REF!="Alta",'Mapa final'!#REF!="Moderado"),CONCATENATE("R2C",'Mapa final'!#REF!),"")</f>
        <v>#REF!</v>
      </c>
      <c r="W17" s="53" t="e">
        <f>IF(AND('Mapa final'!#REF!="Alta",'Mapa final'!#REF!="Moderado"),CONCATENATE("R2C",'Mapa final'!#REF!),"")</f>
        <v>#REF!</v>
      </c>
      <c r="X17" s="53" t="e">
        <f>IF(AND('Mapa final'!#REF!="Alta",'Mapa final'!#REF!="Moderado"),CONCATENATE("R2C",'Mapa final'!#REF!),"")</f>
        <v>#REF!</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e">
        <f>IF(AND('Mapa final'!#REF!="Alta",'Mapa final'!#REF!="Mayor"),CONCATENATE("R2C",'Mapa final'!#REF!),"")</f>
        <v>#REF!</v>
      </c>
      <c r="AC17" s="53" t="e">
        <f>IF(AND('Mapa final'!#REF!="Alta",'Mapa final'!#REF!="Mayor"),CONCATENATE("R2C",'Mapa final'!#REF!),"")</f>
        <v>#REF!</v>
      </c>
      <c r="AD17" s="53" t="e">
        <f>IF(AND('Mapa final'!#REF!="Alta",'Mapa final'!#REF!="Mayor"),CONCATENATE("R2C",'Mapa final'!#REF!),"")</f>
        <v>#REF!</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e">
        <f>IF(AND('Mapa final'!#REF!="Alta",'Mapa final'!#REF!="Catastrófico"),CONCATENATE("R2C",'Mapa final'!#REF!),"")</f>
        <v>#REF!</v>
      </c>
      <c r="AI17" s="56" t="e">
        <f>IF(AND('Mapa final'!#REF!="Alta",'Mapa final'!#REF!="Catastrófico"),CONCATENATE("R2C",'Mapa final'!#REF!),"")</f>
        <v>#REF!</v>
      </c>
      <c r="AJ17" s="56" t="e">
        <f>IF(AND('Mapa final'!#REF!="Alta",'Mapa final'!#REF!="Catastrófico"),CONCATENATE("R2C",'Mapa final'!#REF!),"")</f>
        <v>#REF!</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3"/>
      <c r="AO17" s="343"/>
      <c r="AP17" s="344"/>
      <c r="AQ17" s="344"/>
      <c r="AR17" s="344"/>
      <c r="AS17" s="344"/>
      <c r="AT17" s="34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92"/>
      <c r="C18" s="292"/>
      <c r="D18" s="293"/>
      <c r="E18" s="333"/>
      <c r="F18" s="334"/>
      <c r="G18" s="334"/>
      <c r="H18" s="334"/>
      <c r="I18" s="334"/>
      <c r="J18" s="67" t="str">
        <f>IF(AND('Mapa final'!$Y$11="Alta",'Mapa final'!$AA$11="Leve"),CONCATENATE("R3C",'Mapa final'!$O$11),"")</f>
        <v/>
      </c>
      <c r="K18" s="68" t="e">
        <f>IF(AND('Mapa final'!#REF!="Alta",'Mapa final'!#REF!="Leve"),CONCATENATE("R3C",'Mapa final'!#REF!),"")</f>
        <v>#REF!</v>
      </c>
      <c r="L18" s="68" t="e">
        <f>IF(AND('Mapa final'!#REF!="Alta",'Mapa final'!#REF!="Leve"),CONCATENATE("R3C",'Mapa final'!#REF!),"")</f>
        <v>#REF!</v>
      </c>
      <c r="M18" s="68" t="e">
        <f>IF(AND('Mapa final'!#REF!="Alta",'Mapa final'!#REF!="Leve"),CONCATENATE("R3C",'Mapa final'!#REF!),"")</f>
        <v>#REF!</v>
      </c>
      <c r="N18" s="68" t="e">
        <f>IF(AND('Mapa final'!#REF!="Alta",'Mapa final'!#REF!="Leve"),CONCATENATE("R3C",'Mapa final'!#REF!),"")</f>
        <v>#REF!</v>
      </c>
      <c r="O18" s="69" t="e">
        <f>IF(AND('Mapa final'!#REF!="Alta",'Mapa final'!#REF!="Leve"),CONCATENATE("R3C",'Mapa final'!#REF!),"")</f>
        <v>#REF!</v>
      </c>
      <c r="P18" s="67" t="str">
        <f>IF(AND('Mapa final'!$Y$11="Alta",'Mapa final'!$AA$11="Menor"),CONCATENATE("R3C",'Mapa final'!$O$11),"")</f>
        <v/>
      </c>
      <c r="Q18" s="68" t="e">
        <f>IF(AND('Mapa final'!#REF!="Alta",'Mapa final'!#REF!="Menor"),CONCATENATE("R3C",'Mapa final'!#REF!),"")</f>
        <v>#REF!</v>
      </c>
      <c r="R18" s="68" t="e">
        <f>IF(AND('Mapa final'!#REF!="Alta",'Mapa final'!#REF!="Menor"),CONCATENATE("R3C",'Mapa final'!#REF!),"")</f>
        <v>#REF!</v>
      </c>
      <c r="S18" s="68" t="e">
        <f>IF(AND('Mapa final'!#REF!="Alta",'Mapa final'!#REF!="Menor"),CONCATENATE("R3C",'Mapa final'!#REF!),"")</f>
        <v>#REF!</v>
      </c>
      <c r="T18" s="68" t="e">
        <f>IF(AND('Mapa final'!#REF!="Alta",'Mapa final'!#REF!="Menor"),CONCATENATE("R3C",'Mapa final'!#REF!),"")</f>
        <v>#REF!</v>
      </c>
      <c r="U18" s="69" t="e">
        <f>IF(AND('Mapa final'!#REF!="Alta",'Mapa final'!#REF!="Menor"),CONCATENATE("R3C",'Mapa final'!#REF!),"")</f>
        <v>#REF!</v>
      </c>
      <c r="V18" s="52" t="str">
        <f>IF(AND('Mapa final'!$Y$11="Alta",'Mapa final'!$AA$11="Moderado"),CONCATENATE("R3C",'Mapa final'!$O$11),"")</f>
        <v/>
      </c>
      <c r="W18" s="53" t="e">
        <f>IF(AND('Mapa final'!#REF!="Alta",'Mapa final'!#REF!="Moderado"),CONCATENATE("R3C",'Mapa final'!#REF!),"")</f>
        <v>#REF!</v>
      </c>
      <c r="X18" s="53" t="e">
        <f>IF(AND('Mapa final'!#REF!="Alta",'Mapa final'!#REF!="Moderado"),CONCATENATE("R3C",'Mapa final'!#REF!),"")</f>
        <v>#REF!</v>
      </c>
      <c r="Y18" s="53" t="e">
        <f>IF(AND('Mapa final'!#REF!="Alta",'Mapa final'!#REF!="Moderado"),CONCATENATE("R3C",'Mapa final'!#REF!),"")</f>
        <v>#REF!</v>
      </c>
      <c r="Z18" s="53" t="e">
        <f>IF(AND('Mapa final'!#REF!="Alta",'Mapa final'!#REF!="Moderado"),CONCATENATE("R3C",'Mapa final'!#REF!),"")</f>
        <v>#REF!</v>
      </c>
      <c r="AA18" s="54" t="e">
        <f>IF(AND('Mapa final'!#REF!="Alta",'Mapa final'!#REF!="Moderado"),CONCATENATE("R3C",'Mapa final'!#REF!),"")</f>
        <v>#REF!</v>
      </c>
      <c r="AB18" s="52" t="str">
        <f>IF(AND('Mapa final'!$Y$11="Alta",'Mapa final'!$AA$11="Mayor"),CONCATENATE("R3C",'Mapa final'!$O$11),"")</f>
        <v/>
      </c>
      <c r="AC18" s="53" t="e">
        <f>IF(AND('Mapa final'!#REF!="Alta",'Mapa final'!#REF!="Mayor"),CONCATENATE("R3C",'Mapa final'!#REF!),"")</f>
        <v>#REF!</v>
      </c>
      <c r="AD18" s="53" t="e">
        <f>IF(AND('Mapa final'!#REF!="Alta",'Mapa final'!#REF!="Mayor"),CONCATENATE("R3C",'Mapa final'!#REF!),"")</f>
        <v>#REF!</v>
      </c>
      <c r="AE18" s="53" t="e">
        <f>IF(AND('Mapa final'!#REF!="Alta",'Mapa final'!#REF!="Mayor"),CONCATENATE("R3C",'Mapa final'!#REF!),"")</f>
        <v>#REF!</v>
      </c>
      <c r="AF18" s="53" t="e">
        <f>IF(AND('Mapa final'!#REF!="Alta",'Mapa final'!#REF!="Mayor"),CONCATENATE("R3C",'Mapa final'!#REF!),"")</f>
        <v>#REF!</v>
      </c>
      <c r="AG18" s="54" t="e">
        <f>IF(AND('Mapa final'!#REF!="Alta",'Mapa final'!#REF!="Mayor"),CONCATENATE("R3C",'Mapa final'!#REF!),"")</f>
        <v>#REF!</v>
      </c>
      <c r="AH18" s="55" t="str">
        <f>IF(AND('Mapa final'!$Y$11="Alta",'Mapa final'!$AA$11="Catastrófico"),CONCATENATE("R3C",'Mapa final'!$O$11),"")</f>
        <v/>
      </c>
      <c r="AI18" s="56" t="e">
        <f>IF(AND('Mapa final'!#REF!="Alta",'Mapa final'!#REF!="Catastrófico"),CONCATENATE("R3C",'Mapa final'!#REF!),"")</f>
        <v>#REF!</v>
      </c>
      <c r="AJ18" s="56" t="e">
        <f>IF(AND('Mapa final'!#REF!="Alta",'Mapa final'!#REF!="Catastrófico"),CONCATENATE("R3C",'Mapa final'!#REF!),"")</f>
        <v>#REF!</v>
      </c>
      <c r="AK18" s="56" t="e">
        <f>IF(AND('Mapa final'!#REF!="Alta",'Mapa final'!#REF!="Catastrófico"),CONCATENATE("R3C",'Mapa final'!#REF!),"")</f>
        <v>#REF!</v>
      </c>
      <c r="AL18" s="56" t="e">
        <f>IF(AND('Mapa final'!#REF!="Alta",'Mapa final'!#REF!="Catastrófico"),CONCATENATE("R3C",'Mapa final'!#REF!),"")</f>
        <v>#REF!</v>
      </c>
      <c r="AM18" s="57" t="e">
        <f>IF(AND('Mapa final'!#REF!="Alta",'Mapa final'!#REF!="Catastrófico"),CONCATENATE("R3C",'Mapa final'!#REF!),"")</f>
        <v>#REF!</v>
      </c>
      <c r="AN18" s="83"/>
      <c r="AO18" s="343"/>
      <c r="AP18" s="344"/>
      <c r="AQ18" s="344"/>
      <c r="AR18" s="344"/>
      <c r="AS18" s="344"/>
      <c r="AT18" s="34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92"/>
      <c r="C19" s="292"/>
      <c r="D19" s="293"/>
      <c r="E19" s="333"/>
      <c r="F19" s="334"/>
      <c r="G19" s="334"/>
      <c r="H19" s="334"/>
      <c r="I19" s="334"/>
      <c r="J19" s="67" t="str">
        <f>IF(AND('Mapa final'!$Y$12="Alta",'Mapa final'!$AA$12="Leve"),CONCATENATE("R4C",'Mapa final'!$O$12),"")</f>
        <v/>
      </c>
      <c r="K19" s="68" t="e">
        <f>IF(AND('Mapa final'!#REF!="Alta",'Mapa final'!#REF!="Leve"),CONCATENATE("R4C",'Mapa final'!#REF!),"")</f>
        <v>#REF!</v>
      </c>
      <c r="L19" s="68" t="e">
        <f>IF(AND('Mapa final'!#REF!="Alta",'Mapa final'!#REF!="Leve"),CONCATENATE("R4C",'Mapa final'!#REF!),"")</f>
        <v>#REF!</v>
      </c>
      <c r="M19" s="68" t="e">
        <f>IF(AND('Mapa final'!#REF!="Alta",'Mapa final'!#REF!="Leve"),CONCATENATE("R4C",'Mapa final'!#REF!),"")</f>
        <v>#REF!</v>
      </c>
      <c r="N19" s="68" t="e">
        <f>IF(AND('Mapa final'!#REF!="Alta",'Mapa final'!#REF!="Leve"),CONCATENATE("R4C",'Mapa final'!#REF!),"")</f>
        <v>#REF!</v>
      </c>
      <c r="O19" s="69" t="e">
        <f>IF(AND('Mapa final'!#REF!="Alta",'Mapa final'!#REF!="Leve"),CONCATENATE("R4C",'Mapa final'!#REF!),"")</f>
        <v>#REF!</v>
      </c>
      <c r="P19" s="67" t="str">
        <f>IF(AND('Mapa final'!$Y$12="Alta",'Mapa final'!$AA$12="Menor"),CONCATENATE("R4C",'Mapa final'!$O$12),"")</f>
        <v/>
      </c>
      <c r="Q19" s="68" t="e">
        <f>IF(AND('Mapa final'!#REF!="Alta",'Mapa final'!#REF!="Menor"),CONCATENATE("R4C",'Mapa final'!#REF!),"")</f>
        <v>#REF!</v>
      </c>
      <c r="R19" s="68" t="e">
        <f>IF(AND('Mapa final'!#REF!="Alta",'Mapa final'!#REF!="Menor"),CONCATENATE("R4C",'Mapa final'!#REF!),"")</f>
        <v>#REF!</v>
      </c>
      <c r="S19" s="68" t="e">
        <f>IF(AND('Mapa final'!#REF!="Alta",'Mapa final'!#REF!="Menor"),CONCATENATE("R4C",'Mapa final'!#REF!),"")</f>
        <v>#REF!</v>
      </c>
      <c r="T19" s="68" t="e">
        <f>IF(AND('Mapa final'!#REF!="Alta",'Mapa final'!#REF!="Menor"),CONCATENATE("R4C",'Mapa final'!#REF!),"")</f>
        <v>#REF!</v>
      </c>
      <c r="U19" s="69" t="e">
        <f>IF(AND('Mapa final'!#REF!="Alta",'Mapa final'!#REF!="Menor"),CONCATENATE("R4C",'Mapa final'!#REF!),"")</f>
        <v>#REF!</v>
      </c>
      <c r="V19" s="52" t="str">
        <f>IF(AND('Mapa final'!$Y$12="Alta",'Mapa final'!$AA$12="Moderado"),CONCATENATE("R4C",'Mapa final'!$O$12),"")</f>
        <v/>
      </c>
      <c r="W19" s="53" t="e">
        <f>IF(AND('Mapa final'!#REF!="Alta",'Mapa final'!#REF!="Moderado"),CONCATENATE("R4C",'Mapa final'!#REF!),"")</f>
        <v>#REF!</v>
      </c>
      <c r="X19" s="53" t="e">
        <f>IF(AND('Mapa final'!#REF!="Alta",'Mapa final'!#REF!="Moderado"),CONCATENATE("R4C",'Mapa final'!#REF!),"")</f>
        <v>#REF!</v>
      </c>
      <c r="Y19" s="53" t="e">
        <f>IF(AND('Mapa final'!#REF!="Alta",'Mapa final'!#REF!="Moderado"),CONCATENATE("R4C",'Mapa final'!#REF!),"")</f>
        <v>#REF!</v>
      </c>
      <c r="Z19" s="53" t="e">
        <f>IF(AND('Mapa final'!#REF!="Alta",'Mapa final'!#REF!="Moderado"),CONCATENATE("R4C",'Mapa final'!#REF!),"")</f>
        <v>#REF!</v>
      </c>
      <c r="AA19" s="54" t="e">
        <f>IF(AND('Mapa final'!#REF!="Alta",'Mapa final'!#REF!="Moderado"),CONCATENATE("R4C",'Mapa final'!#REF!),"")</f>
        <v>#REF!</v>
      </c>
      <c r="AB19" s="52" t="str">
        <f>IF(AND('Mapa final'!$Y$12="Alta",'Mapa final'!$AA$12="Mayor"),CONCATENATE("R4C",'Mapa final'!$O$12),"")</f>
        <v/>
      </c>
      <c r="AC19" s="53" t="e">
        <f>IF(AND('Mapa final'!#REF!="Alta",'Mapa final'!#REF!="Mayor"),CONCATENATE("R4C",'Mapa final'!#REF!),"")</f>
        <v>#REF!</v>
      </c>
      <c r="AD19" s="53" t="e">
        <f>IF(AND('Mapa final'!#REF!="Alta",'Mapa final'!#REF!="Mayor"),CONCATENATE("R4C",'Mapa final'!#REF!),"")</f>
        <v>#REF!</v>
      </c>
      <c r="AE19" s="53" t="e">
        <f>IF(AND('Mapa final'!#REF!="Alta",'Mapa final'!#REF!="Mayor"),CONCATENATE("R4C",'Mapa final'!#REF!),"")</f>
        <v>#REF!</v>
      </c>
      <c r="AF19" s="53" t="e">
        <f>IF(AND('Mapa final'!#REF!="Alta",'Mapa final'!#REF!="Mayor"),CONCATENATE("R4C",'Mapa final'!#REF!),"")</f>
        <v>#REF!</v>
      </c>
      <c r="AG19" s="54" t="e">
        <f>IF(AND('Mapa final'!#REF!="Alta",'Mapa final'!#REF!="Mayor"),CONCATENATE("R4C",'Mapa final'!#REF!),"")</f>
        <v>#REF!</v>
      </c>
      <c r="AH19" s="55" t="str">
        <f>IF(AND('Mapa final'!$Y$12="Alta",'Mapa final'!$AA$12="Catastrófico"),CONCATENATE("R4C",'Mapa final'!$O$12),"")</f>
        <v/>
      </c>
      <c r="AI19" s="56" t="e">
        <f>IF(AND('Mapa final'!#REF!="Alta",'Mapa final'!#REF!="Catastrófico"),CONCATENATE("R4C",'Mapa final'!#REF!),"")</f>
        <v>#REF!</v>
      </c>
      <c r="AJ19" s="56" t="e">
        <f>IF(AND('Mapa final'!#REF!="Alta",'Mapa final'!#REF!="Catastrófico"),CONCATENATE("R4C",'Mapa final'!#REF!),"")</f>
        <v>#REF!</v>
      </c>
      <c r="AK19" s="56" t="e">
        <f>IF(AND('Mapa final'!#REF!="Alta",'Mapa final'!#REF!="Catastrófico"),CONCATENATE("R4C",'Mapa final'!#REF!),"")</f>
        <v>#REF!</v>
      </c>
      <c r="AL19" s="56" t="e">
        <f>IF(AND('Mapa final'!#REF!="Alta",'Mapa final'!#REF!="Catastrófico"),CONCATENATE("R4C",'Mapa final'!#REF!),"")</f>
        <v>#REF!</v>
      </c>
      <c r="AM19" s="57" t="e">
        <f>IF(AND('Mapa final'!#REF!="Alta",'Mapa final'!#REF!="Catastrófico"),CONCATENATE("R4C",'Mapa final'!#REF!),"")</f>
        <v>#REF!</v>
      </c>
      <c r="AN19" s="83"/>
      <c r="AO19" s="343"/>
      <c r="AP19" s="344"/>
      <c r="AQ19" s="344"/>
      <c r="AR19" s="344"/>
      <c r="AS19" s="344"/>
      <c r="AT19" s="34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92"/>
      <c r="C20" s="292"/>
      <c r="D20" s="293"/>
      <c r="E20" s="333"/>
      <c r="F20" s="334"/>
      <c r="G20" s="334"/>
      <c r="H20" s="334"/>
      <c r="I20" s="334"/>
      <c r="J20" s="67" t="str">
        <f>IF(AND('Mapa final'!$Y$13="Alta",'Mapa final'!$AA$13="Leve"),CONCATENATE("R5C",'Mapa final'!$O$13),"")</f>
        <v/>
      </c>
      <c r="K20" s="68" t="e">
        <f>IF(AND('Mapa final'!#REF!="Alta",'Mapa final'!#REF!="Leve"),CONCATENATE("R5C",'Mapa final'!#REF!),"")</f>
        <v>#REF!</v>
      </c>
      <c r="L20" s="68" t="e">
        <f>IF(AND('Mapa final'!#REF!="Alta",'Mapa final'!#REF!="Leve"),CONCATENATE("R5C",'Mapa final'!#REF!),"")</f>
        <v>#REF!</v>
      </c>
      <c r="M20" s="68" t="e">
        <f>IF(AND('Mapa final'!#REF!="Alta",'Mapa final'!#REF!="Leve"),CONCATENATE("R5C",'Mapa final'!#REF!),"")</f>
        <v>#REF!</v>
      </c>
      <c r="N20" s="68" t="e">
        <f>IF(AND('Mapa final'!#REF!="Alta",'Mapa final'!#REF!="Leve"),CONCATENATE("R5C",'Mapa final'!#REF!),"")</f>
        <v>#REF!</v>
      </c>
      <c r="O20" s="69" t="e">
        <f>IF(AND('Mapa final'!#REF!="Alta",'Mapa final'!#REF!="Leve"),CONCATENATE("R5C",'Mapa final'!#REF!),"")</f>
        <v>#REF!</v>
      </c>
      <c r="P20" s="67" t="str">
        <f>IF(AND('Mapa final'!$Y$13="Alta",'Mapa final'!$AA$13="Menor"),CONCATENATE("R5C",'Mapa final'!$O$13),"")</f>
        <v/>
      </c>
      <c r="Q20" s="68" t="e">
        <f>IF(AND('Mapa final'!#REF!="Alta",'Mapa final'!#REF!="Menor"),CONCATENATE("R5C",'Mapa final'!#REF!),"")</f>
        <v>#REF!</v>
      </c>
      <c r="R20" s="68" t="e">
        <f>IF(AND('Mapa final'!#REF!="Alta",'Mapa final'!#REF!="Menor"),CONCATENATE("R5C",'Mapa final'!#REF!),"")</f>
        <v>#REF!</v>
      </c>
      <c r="S20" s="68" t="e">
        <f>IF(AND('Mapa final'!#REF!="Alta",'Mapa final'!#REF!="Menor"),CONCATENATE("R5C",'Mapa final'!#REF!),"")</f>
        <v>#REF!</v>
      </c>
      <c r="T20" s="68" t="e">
        <f>IF(AND('Mapa final'!#REF!="Alta",'Mapa final'!#REF!="Menor"),CONCATENATE("R5C",'Mapa final'!#REF!),"")</f>
        <v>#REF!</v>
      </c>
      <c r="U20" s="69" t="e">
        <f>IF(AND('Mapa final'!#REF!="Alta",'Mapa final'!#REF!="Menor"),CONCATENATE("R5C",'Mapa final'!#REF!),"")</f>
        <v>#REF!</v>
      </c>
      <c r="V20" s="52" t="str">
        <f>IF(AND('Mapa final'!$Y$13="Alta",'Mapa final'!$AA$13="Moderado"),CONCATENATE("R5C",'Mapa final'!$O$13),"")</f>
        <v/>
      </c>
      <c r="W20" s="53" t="e">
        <f>IF(AND('Mapa final'!#REF!="Alta",'Mapa final'!#REF!="Moderado"),CONCATENATE("R5C",'Mapa final'!#REF!),"")</f>
        <v>#REF!</v>
      </c>
      <c r="X20" s="53" t="e">
        <f>IF(AND('Mapa final'!#REF!="Alta",'Mapa final'!#REF!="Moderado"),CONCATENATE("R5C",'Mapa final'!#REF!),"")</f>
        <v>#REF!</v>
      </c>
      <c r="Y20" s="53" t="e">
        <f>IF(AND('Mapa final'!#REF!="Alta",'Mapa final'!#REF!="Moderado"),CONCATENATE("R5C",'Mapa final'!#REF!),"")</f>
        <v>#REF!</v>
      </c>
      <c r="Z20" s="53" t="e">
        <f>IF(AND('Mapa final'!#REF!="Alta",'Mapa final'!#REF!="Moderado"),CONCATENATE("R5C",'Mapa final'!#REF!),"")</f>
        <v>#REF!</v>
      </c>
      <c r="AA20" s="54" t="e">
        <f>IF(AND('Mapa final'!#REF!="Alta",'Mapa final'!#REF!="Moderado"),CONCATENATE("R5C",'Mapa final'!#REF!),"")</f>
        <v>#REF!</v>
      </c>
      <c r="AB20" s="52" t="str">
        <f>IF(AND('Mapa final'!$Y$13="Alta",'Mapa final'!$AA$13="Mayor"),CONCATENATE("R5C",'Mapa final'!$O$13),"")</f>
        <v/>
      </c>
      <c r="AC20" s="53" t="e">
        <f>IF(AND('Mapa final'!#REF!="Alta",'Mapa final'!#REF!="Mayor"),CONCATENATE("R5C",'Mapa final'!#REF!),"")</f>
        <v>#REF!</v>
      </c>
      <c r="AD20" s="53" t="e">
        <f>IF(AND('Mapa final'!#REF!="Alta",'Mapa final'!#REF!="Mayor"),CONCATENATE("R5C",'Mapa final'!#REF!),"")</f>
        <v>#REF!</v>
      </c>
      <c r="AE20" s="53" t="e">
        <f>IF(AND('Mapa final'!#REF!="Alta",'Mapa final'!#REF!="Mayor"),CONCATENATE("R5C",'Mapa final'!#REF!),"")</f>
        <v>#REF!</v>
      </c>
      <c r="AF20" s="53" t="e">
        <f>IF(AND('Mapa final'!#REF!="Alta",'Mapa final'!#REF!="Mayor"),CONCATENATE("R5C",'Mapa final'!#REF!),"")</f>
        <v>#REF!</v>
      </c>
      <c r="AG20" s="54" t="e">
        <f>IF(AND('Mapa final'!#REF!="Alta",'Mapa final'!#REF!="Mayor"),CONCATENATE("R5C",'Mapa final'!#REF!),"")</f>
        <v>#REF!</v>
      </c>
      <c r="AH20" s="55" t="str">
        <f>IF(AND('Mapa final'!$Y$13="Alta",'Mapa final'!$AA$13="Catastrófico"),CONCATENATE("R5C",'Mapa final'!$O$13),"")</f>
        <v/>
      </c>
      <c r="AI20" s="56" t="e">
        <f>IF(AND('Mapa final'!#REF!="Alta",'Mapa final'!#REF!="Catastrófico"),CONCATENATE("R5C",'Mapa final'!#REF!),"")</f>
        <v>#REF!</v>
      </c>
      <c r="AJ20" s="56" t="e">
        <f>IF(AND('Mapa final'!#REF!="Alta",'Mapa final'!#REF!="Catastrófico"),CONCATENATE("R5C",'Mapa final'!#REF!),"")</f>
        <v>#REF!</v>
      </c>
      <c r="AK20" s="56" t="e">
        <f>IF(AND('Mapa final'!#REF!="Alta",'Mapa final'!#REF!="Catastrófico"),CONCATENATE("R5C",'Mapa final'!#REF!),"")</f>
        <v>#REF!</v>
      </c>
      <c r="AL20" s="56" t="e">
        <f>IF(AND('Mapa final'!#REF!="Alta",'Mapa final'!#REF!="Catastrófico"),CONCATENATE("R5C",'Mapa final'!#REF!),"")</f>
        <v>#REF!</v>
      </c>
      <c r="AM20" s="57" t="e">
        <f>IF(AND('Mapa final'!#REF!="Alta",'Mapa final'!#REF!="Catastrófico"),CONCATENATE("R5C",'Mapa final'!#REF!),"")</f>
        <v>#REF!</v>
      </c>
      <c r="AN20" s="83"/>
      <c r="AO20" s="343"/>
      <c r="AP20" s="344"/>
      <c r="AQ20" s="344"/>
      <c r="AR20" s="344"/>
      <c r="AS20" s="344"/>
      <c r="AT20" s="34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92"/>
      <c r="C21" s="292"/>
      <c r="D21" s="293"/>
      <c r="E21" s="333"/>
      <c r="F21" s="334"/>
      <c r="G21" s="334"/>
      <c r="H21" s="334"/>
      <c r="I21" s="334"/>
      <c r="J21" s="67" t="str">
        <f>IF(AND('Mapa final'!$Y$14="Alta",'Mapa final'!$AA$14="Leve"),CONCATENATE("R6C",'Mapa final'!$O$14),"")</f>
        <v/>
      </c>
      <c r="K21" s="68" t="e">
        <f>IF(AND('Mapa final'!#REF!="Alta",'Mapa final'!#REF!="Leve"),CONCATENATE("R6C",'Mapa final'!#REF!),"")</f>
        <v>#REF!</v>
      </c>
      <c r="L21" s="68" t="e">
        <f>IF(AND('Mapa final'!#REF!="Alta",'Mapa final'!#REF!="Leve"),CONCATENATE("R6C",'Mapa final'!#REF!),"")</f>
        <v>#REF!</v>
      </c>
      <c r="M21" s="68" t="e">
        <f>IF(AND('Mapa final'!#REF!="Alta",'Mapa final'!#REF!="Leve"),CONCATENATE("R6C",'Mapa final'!#REF!),"")</f>
        <v>#REF!</v>
      </c>
      <c r="N21" s="68" t="e">
        <f>IF(AND('Mapa final'!#REF!="Alta",'Mapa final'!#REF!="Leve"),CONCATENATE("R6C",'Mapa final'!#REF!),"")</f>
        <v>#REF!</v>
      </c>
      <c r="O21" s="69" t="e">
        <f>IF(AND('Mapa final'!#REF!="Alta",'Mapa final'!#REF!="Leve"),CONCATENATE("R6C",'Mapa final'!#REF!),"")</f>
        <v>#REF!</v>
      </c>
      <c r="P21" s="67" t="str">
        <f>IF(AND('Mapa final'!$Y$14="Alta",'Mapa final'!$AA$14="Menor"),CONCATENATE("R6C",'Mapa final'!$O$14),"")</f>
        <v/>
      </c>
      <c r="Q21" s="68" t="e">
        <f>IF(AND('Mapa final'!#REF!="Alta",'Mapa final'!#REF!="Menor"),CONCATENATE("R6C",'Mapa final'!#REF!),"")</f>
        <v>#REF!</v>
      </c>
      <c r="R21" s="68" t="e">
        <f>IF(AND('Mapa final'!#REF!="Alta",'Mapa final'!#REF!="Menor"),CONCATENATE("R6C",'Mapa final'!#REF!),"")</f>
        <v>#REF!</v>
      </c>
      <c r="S21" s="68" t="e">
        <f>IF(AND('Mapa final'!#REF!="Alta",'Mapa final'!#REF!="Menor"),CONCATENATE("R6C",'Mapa final'!#REF!),"")</f>
        <v>#REF!</v>
      </c>
      <c r="T21" s="68" t="e">
        <f>IF(AND('Mapa final'!#REF!="Alta",'Mapa final'!#REF!="Menor"),CONCATENATE("R6C",'Mapa final'!#REF!),"")</f>
        <v>#REF!</v>
      </c>
      <c r="U21" s="69" t="e">
        <f>IF(AND('Mapa final'!#REF!="Alta",'Mapa final'!#REF!="Menor"),CONCATENATE("R6C",'Mapa final'!#REF!),"")</f>
        <v>#REF!</v>
      </c>
      <c r="V21" s="52" t="str">
        <f>IF(AND('Mapa final'!$Y$14="Alta",'Mapa final'!$AA$14="Moderado"),CONCATENATE("R6C",'Mapa final'!$O$14),"")</f>
        <v/>
      </c>
      <c r="W21" s="53" t="e">
        <f>IF(AND('Mapa final'!#REF!="Alta",'Mapa final'!#REF!="Moderado"),CONCATENATE("R6C",'Mapa final'!#REF!),"")</f>
        <v>#REF!</v>
      </c>
      <c r="X21" s="53" t="e">
        <f>IF(AND('Mapa final'!#REF!="Alta",'Mapa final'!#REF!="Moderado"),CONCATENATE("R6C",'Mapa final'!#REF!),"")</f>
        <v>#REF!</v>
      </c>
      <c r="Y21" s="53" t="e">
        <f>IF(AND('Mapa final'!#REF!="Alta",'Mapa final'!#REF!="Moderado"),CONCATENATE("R6C",'Mapa final'!#REF!),"")</f>
        <v>#REF!</v>
      </c>
      <c r="Z21" s="53" t="e">
        <f>IF(AND('Mapa final'!#REF!="Alta",'Mapa final'!#REF!="Moderado"),CONCATENATE("R6C",'Mapa final'!#REF!),"")</f>
        <v>#REF!</v>
      </c>
      <c r="AA21" s="54" t="e">
        <f>IF(AND('Mapa final'!#REF!="Alta",'Mapa final'!#REF!="Moderado"),CONCATENATE("R6C",'Mapa final'!#REF!),"")</f>
        <v>#REF!</v>
      </c>
      <c r="AB21" s="52" t="str">
        <f>IF(AND('Mapa final'!$Y$14="Alta",'Mapa final'!$AA$14="Mayor"),CONCATENATE("R6C",'Mapa final'!$O$14),"")</f>
        <v/>
      </c>
      <c r="AC21" s="53" t="e">
        <f>IF(AND('Mapa final'!#REF!="Alta",'Mapa final'!#REF!="Mayor"),CONCATENATE("R6C",'Mapa final'!#REF!),"")</f>
        <v>#REF!</v>
      </c>
      <c r="AD21" s="53" t="e">
        <f>IF(AND('Mapa final'!#REF!="Alta",'Mapa final'!#REF!="Mayor"),CONCATENATE("R6C",'Mapa final'!#REF!),"")</f>
        <v>#REF!</v>
      </c>
      <c r="AE21" s="53" t="e">
        <f>IF(AND('Mapa final'!#REF!="Alta",'Mapa final'!#REF!="Mayor"),CONCATENATE("R6C",'Mapa final'!#REF!),"")</f>
        <v>#REF!</v>
      </c>
      <c r="AF21" s="53" t="e">
        <f>IF(AND('Mapa final'!#REF!="Alta",'Mapa final'!#REF!="Mayor"),CONCATENATE("R6C",'Mapa final'!#REF!),"")</f>
        <v>#REF!</v>
      </c>
      <c r="AG21" s="54" t="e">
        <f>IF(AND('Mapa final'!#REF!="Alta",'Mapa final'!#REF!="Mayor"),CONCATENATE("R6C",'Mapa final'!#REF!),"")</f>
        <v>#REF!</v>
      </c>
      <c r="AH21" s="55" t="str">
        <f>IF(AND('Mapa final'!$Y$14="Alta",'Mapa final'!$AA$14="Catastrófico"),CONCATENATE("R6C",'Mapa final'!$O$14),"")</f>
        <v/>
      </c>
      <c r="AI21" s="56" t="e">
        <f>IF(AND('Mapa final'!#REF!="Alta",'Mapa final'!#REF!="Catastrófico"),CONCATENATE("R6C",'Mapa final'!#REF!),"")</f>
        <v>#REF!</v>
      </c>
      <c r="AJ21" s="56" t="e">
        <f>IF(AND('Mapa final'!#REF!="Alta",'Mapa final'!#REF!="Catastrófico"),CONCATENATE("R6C",'Mapa final'!#REF!),"")</f>
        <v>#REF!</v>
      </c>
      <c r="AK21" s="56" t="e">
        <f>IF(AND('Mapa final'!#REF!="Alta",'Mapa final'!#REF!="Catastrófico"),CONCATENATE("R6C",'Mapa final'!#REF!),"")</f>
        <v>#REF!</v>
      </c>
      <c r="AL21" s="56" t="e">
        <f>IF(AND('Mapa final'!#REF!="Alta",'Mapa final'!#REF!="Catastrófico"),CONCATENATE("R6C",'Mapa final'!#REF!),"")</f>
        <v>#REF!</v>
      </c>
      <c r="AM21" s="57" t="e">
        <f>IF(AND('Mapa final'!#REF!="Alta",'Mapa final'!#REF!="Catastrófico"),CONCATENATE("R6C",'Mapa final'!#REF!),"")</f>
        <v>#REF!</v>
      </c>
      <c r="AN21" s="83"/>
      <c r="AO21" s="343"/>
      <c r="AP21" s="344"/>
      <c r="AQ21" s="344"/>
      <c r="AR21" s="344"/>
      <c r="AS21" s="344"/>
      <c r="AT21" s="34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92"/>
      <c r="C22" s="292"/>
      <c r="D22" s="293"/>
      <c r="E22" s="333"/>
      <c r="F22" s="334"/>
      <c r="G22" s="334"/>
      <c r="H22" s="334"/>
      <c r="I22" s="334"/>
      <c r="J22" s="67" t="str">
        <f>IF(AND('Mapa final'!$Y$15="Alta",'Mapa final'!$AA$15="Leve"),CONCATENATE("R7C",'Mapa final'!$O$15),"")</f>
        <v/>
      </c>
      <c r="K22" s="68" t="e">
        <f>IF(AND('Mapa final'!#REF!="Alta",'Mapa final'!#REF!="Leve"),CONCATENATE("R7C",'Mapa final'!#REF!),"")</f>
        <v>#REF!</v>
      </c>
      <c r="L22" s="68" t="e">
        <f>IF(AND('Mapa final'!#REF!="Alta",'Mapa final'!#REF!="Leve"),CONCATENATE("R7C",'Mapa final'!#REF!),"")</f>
        <v>#REF!</v>
      </c>
      <c r="M22" s="68" t="e">
        <f>IF(AND('Mapa final'!#REF!="Alta",'Mapa final'!#REF!="Leve"),CONCATENATE("R7C",'Mapa final'!#REF!),"")</f>
        <v>#REF!</v>
      </c>
      <c r="N22" s="68" t="e">
        <f>IF(AND('Mapa final'!#REF!="Alta",'Mapa final'!#REF!="Leve"),CONCATENATE("R7C",'Mapa final'!#REF!),"")</f>
        <v>#REF!</v>
      </c>
      <c r="O22" s="69" t="e">
        <f>IF(AND('Mapa final'!#REF!="Alta",'Mapa final'!#REF!="Leve"),CONCATENATE("R7C",'Mapa final'!#REF!),"")</f>
        <v>#REF!</v>
      </c>
      <c r="P22" s="67" t="str">
        <f>IF(AND('Mapa final'!$Y$15="Alta",'Mapa final'!$AA$15="Menor"),CONCATENATE("R7C",'Mapa final'!$O$15),"")</f>
        <v/>
      </c>
      <c r="Q22" s="68" t="e">
        <f>IF(AND('Mapa final'!#REF!="Alta",'Mapa final'!#REF!="Menor"),CONCATENATE("R7C",'Mapa final'!#REF!),"")</f>
        <v>#REF!</v>
      </c>
      <c r="R22" s="68" t="e">
        <f>IF(AND('Mapa final'!#REF!="Alta",'Mapa final'!#REF!="Menor"),CONCATENATE("R7C",'Mapa final'!#REF!),"")</f>
        <v>#REF!</v>
      </c>
      <c r="S22" s="68" t="e">
        <f>IF(AND('Mapa final'!#REF!="Alta",'Mapa final'!#REF!="Menor"),CONCATENATE("R7C",'Mapa final'!#REF!),"")</f>
        <v>#REF!</v>
      </c>
      <c r="T22" s="68" t="e">
        <f>IF(AND('Mapa final'!#REF!="Alta",'Mapa final'!#REF!="Menor"),CONCATENATE("R7C",'Mapa final'!#REF!),"")</f>
        <v>#REF!</v>
      </c>
      <c r="U22" s="69" t="e">
        <f>IF(AND('Mapa final'!#REF!="Alta",'Mapa final'!#REF!="Menor"),CONCATENATE("R7C",'Mapa final'!#REF!),"")</f>
        <v>#REF!</v>
      </c>
      <c r="V22" s="52" t="str">
        <f>IF(AND('Mapa final'!$Y$15="Alta",'Mapa final'!$AA$15="Moderado"),CONCATENATE("R7C",'Mapa final'!$O$15),"")</f>
        <v/>
      </c>
      <c r="W22" s="53" t="e">
        <f>IF(AND('Mapa final'!#REF!="Alta",'Mapa final'!#REF!="Moderado"),CONCATENATE("R7C",'Mapa final'!#REF!),"")</f>
        <v>#REF!</v>
      </c>
      <c r="X22" s="53" t="e">
        <f>IF(AND('Mapa final'!#REF!="Alta",'Mapa final'!#REF!="Moderado"),CONCATENATE("R7C",'Mapa final'!#REF!),"")</f>
        <v>#REF!</v>
      </c>
      <c r="Y22" s="53" t="e">
        <f>IF(AND('Mapa final'!#REF!="Alta",'Mapa final'!#REF!="Moderado"),CONCATENATE("R7C",'Mapa final'!#REF!),"")</f>
        <v>#REF!</v>
      </c>
      <c r="Z22" s="53" t="e">
        <f>IF(AND('Mapa final'!#REF!="Alta",'Mapa final'!#REF!="Moderado"),CONCATENATE("R7C",'Mapa final'!#REF!),"")</f>
        <v>#REF!</v>
      </c>
      <c r="AA22" s="54" t="e">
        <f>IF(AND('Mapa final'!#REF!="Alta",'Mapa final'!#REF!="Moderado"),CONCATENATE("R7C",'Mapa final'!#REF!),"")</f>
        <v>#REF!</v>
      </c>
      <c r="AB22" s="52" t="str">
        <f>IF(AND('Mapa final'!$Y$15="Alta",'Mapa final'!$AA$15="Mayor"),CONCATENATE("R7C",'Mapa final'!$O$15),"")</f>
        <v/>
      </c>
      <c r="AC22" s="53" t="e">
        <f>IF(AND('Mapa final'!#REF!="Alta",'Mapa final'!#REF!="Mayor"),CONCATENATE("R7C",'Mapa final'!#REF!),"")</f>
        <v>#REF!</v>
      </c>
      <c r="AD22" s="53" t="e">
        <f>IF(AND('Mapa final'!#REF!="Alta",'Mapa final'!#REF!="Mayor"),CONCATENATE("R7C",'Mapa final'!#REF!),"")</f>
        <v>#REF!</v>
      </c>
      <c r="AE22" s="53" t="e">
        <f>IF(AND('Mapa final'!#REF!="Alta",'Mapa final'!#REF!="Mayor"),CONCATENATE("R7C",'Mapa final'!#REF!),"")</f>
        <v>#REF!</v>
      </c>
      <c r="AF22" s="53" t="e">
        <f>IF(AND('Mapa final'!#REF!="Alta",'Mapa final'!#REF!="Mayor"),CONCATENATE("R7C",'Mapa final'!#REF!),"")</f>
        <v>#REF!</v>
      </c>
      <c r="AG22" s="54" t="e">
        <f>IF(AND('Mapa final'!#REF!="Alta",'Mapa final'!#REF!="Mayor"),CONCATENATE("R7C",'Mapa final'!#REF!),"")</f>
        <v>#REF!</v>
      </c>
      <c r="AH22" s="55" t="str">
        <f>IF(AND('Mapa final'!$Y$15="Alta",'Mapa final'!$AA$15="Catastrófico"),CONCATENATE("R7C",'Mapa final'!$O$15),"")</f>
        <v/>
      </c>
      <c r="AI22" s="56" t="e">
        <f>IF(AND('Mapa final'!#REF!="Alta",'Mapa final'!#REF!="Catastrófico"),CONCATENATE("R7C",'Mapa final'!#REF!),"")</f>
        <v>#REF!</v>
      </c>
      <c r="AJ22" s="56" t="e">
        <f>IF(AND('Mapa final'!#REF!="Alta",'Mapa final'!#REF!="Catastrófico"),CONCATENATE("R7C",'Mapa final'!#REF!),"")</f>
        <v>#REF!</v>
      </c>
      <c r="AK22" s="56" t="e">
        <f>IF(AND('Mapa final'!#REF!="Alta",'Mapa final'!#REF!="Catastrófico"),CONCATENATE("R7C",'Mapa final'!#REF!),"")</f>
        <v>#REF!</v>
      </c>
      <c r="AL22" s="56" t="e">
        <f>IF(AND('Mapa final'!#REF!="Alta",'Mapa final'!#REF!="Catastrófico"),CONCATENATE("R7C",'Mapa final'!#REF!),"")</f>
        <v>#REF!</v>
      </c>
      <c r="AM22" s="57" t="e">
        <f>IF(AND('Mapa final'!#REF!="Alta",'Mapa final'!#REF!="Catastrófico"),CONCATENATE("R7C",'Mapa final'!#REF!),"")</f>
        <v>#REF!</v>
      </c>
      <c r="AN22" s="83"/>
      <c r="AO22" s="343"/>
      <c r="AP22" s="344"/>
      <c r="AQ22" s="344"/>
      <c r="AR22" s="344"/>
      <c r="AS22" s="344"/>
      <c r="AT22" s="345"/>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92"/>
      <c r="C23" s="292"/>
      <c r="D23" s="293"/>
      <c r="E23" s="333"/>
      <c r="F23" s="334"/>
      <c r="G23" s="334"/>
      <c r="H23" s="334"/>
      <c r="I23" s="334"/>
      <c r="J23" s="67" t="str">
        <f>IF(AND('Mapa final'!$Y$16="Alta",'Mapa final'!$AA$16="Leve"),CONCATENATE("R8C",'Mapa final'!$O$16),"")</f>
        <v/>
      </c>
      <c r="K23" s="68" t="str">
        <f>IF(AND('Mapa final'!$Y$17="Alta",'Mapa final'!$AA$17="Leve"),CONCATENATE("R8C",'Mapa final'!$O$17),"")</f>
        <v/>
      </c>
      <c r="L23" s="68" t="str">
        <f>IF(AND('Mapa final'!$Y$18="Alta",'Mapa final'!$AA$18="Leve"),CONCATENATE("R8C",'Mapa final'!$O$18),"")</f>
        <v/>
      </c>
      <c r="M23" s="68" t="str">
        <f>IF(AND('Mapa final'!$Y$19="Alta",'Mapa final'!$AA$19="Leve"),CONCATENATE("R8C",'Mapa final'!$O$19),"")</f>
        <v/>
      </c>
      <c r="N23" s="68" t="str">
        <f>IF(AND('Mapa final'!$Y$20="Alta",'Mapa final'!$AA$20="Leve"),CONCATENATE("R8C",'Mapa final'!$O$20),"")</f>
        <v/>
      </c>
      <c r="O23" s="69" t="str">
        <f>IF(AND('Mapa final'!$Y$21="Alta",'Mapa final'!$AA$21="Leve"),CONCATENATE("R8C",'Mapa final'!$O$21),"")</f>
        <v/>
      </c>
      <c r="P23" s="67" t="str">
        <f>IF(AND('Mapa final'!$Y$16="Alta",'Mapa final'!$AA$16="Menor"),CONCATENATE("R8C",'Mapa final'!$O$16),"")</f>
        <v/>
      </c>
      <c r="Q23" s="68" t="str">
        <f>IF(AND('Mapa final'!$Y$17="Alta",'Mapa final'!$AA$17="Menor"),CONCATENATE("R8C",'Mapa final'!$O$17),"")</f>
        <v/>
      </c>
      <c r="R23" s="68" t="str">
        <f>IF(AND('Mapa final'!$Y$18="Alta",'Mapa final'!$AA$18="Menor"),CONCATENATE("R8C",'Mapa final'!$O$18),"")</f>
        <v/>
      </c>
      <c r="S23" s="68" t="str">
        <f>IF(AND('Mapa final'!$Y$19="Alta",'Mapa final'!$AA$19="Menor"),CONCATENATE("R8C",'Mapa final'!$O$19),"")</f>
        <v/>
      </c>
      <c r="T23" s="68" t="str">
        <f>IF(AND('Mapa final'!$Y$20="Alta",'Mapa final'!$AA$20="Menor"),CONCATENATE("R8C",'Mapa final'!$O$20),"")</f>
        <v/>
      </c>
      <c r="U23" s="69" t="str">
        <f>IF(AND('Mapa final'!$Y$21="Alta",'Mapa final'!$AA$21="Menor"),CONCATENATE("R8C",'Mapa final'!$O$21),"")</f>
        <v/>
      </c>
      <c r="V23" s="52" t="str">
        <f>IF(AND('Mapa final'!$Y$16="Alta",'Mapa final'!$AA$16="Moderado"),CONCATENATE("R8C",'Mapa final'!$O$16),"")</f>
        <v/>
      </c>
      <c r="W23" s="53" t="str">
        <f>IF(AND('Mapa final'!$Y$17="Alta",'Mapa final'!$AA$17="Moderado"),CONCATENATE("R8C",'Mapa final'!$O$17),"")</f>
        <v/>
      </c>
      <c r="X23" s="53" t="str">
        <f>IF(AND('Mapa final'!$Y$18="Alta",'Mapa final'!$AA$18="Moderado"),CONCATENATE("R8C",'Mapa final'!$O$18),"")</f>
        <v/>
      </c>
      <c r="Y23" s="53" t="str">
        <f>IF(AND('Mapa final'!$Y$19="Alta",'Mapa final'!$AA$19="Moderado"),CONCATENATE("R8C",'Mapa final'!$O$19),"")</f>
        <v/>
      </c>
      <c r="Z23" s="53" t="str">
        <f>IF(AND('Mapa final'!$Y$20="Alta",'Mapa final'!$AA$20="Moderado"),CONCATENATE("R8C",'Mapa final'!$O$20),"")</f>
        <v/>
      </c>
      <c r="AA23" s="54" t="str">
        <f>IF(AND('Mapa final'!$Y$21="Alta",'Mapa final'!$AA$21="Moderado"),CONCATENATE("R8C",'Mapa final'!$O$21),"")</f>
        <v/>
      </c>
      <c r="AB23" s="52" t="str">
        <f>IF(AND('Mapa final'!$Y$16="Alta",'Mapa final'!$AA$16="Mayor"),CONCATENATE("R8C",'Mapa final'!$O$16),"")</f>
        <v/>
      </c>
      <c r="AC23" s="53" t="str">
        <f>IF(AND('Mapa final'!$Y$17="Alta",'Mapa final'!$AA$17="Mayor"),CONCATENATE("R8C",'Mapa final'!$O$17),"")</f>
        <v/>
      </c>
      <c r="AD23" s="53" t="str">
        <f>IF(AND('Mapa final'!$Y$18="Alta",'Mapa final'!$AA$18="Mayor"),CONCATENATE("R8C",'Mapa final'!$O$18),"")</f>
        <v/>
      </c>
      <c r="AE23" s="53" t="str">
        <f>IF(AND('Mapa final'!$Y$19="Alta",'Mapa final'!$AA$19="Mayor"),CONCATENATE("R8C",'Mapa final'!$O$19),"")</f>
        <v/>
      </c>
      <c r="AF23" s="53" t="str">
        <f>IF(AND('Mapa final'!$Y$20="Alta",'Mapa final'!$AA$20="Mayor"),CONCATENATE("R8C",'Mapa final'!$O$20),"")</f>
        <v/>
      </c>
      <c r="AG23" s="54" t="str">
        <f>IF(AND('Mapa final'!$Y$21="Alta",'Mapa final'!$AA$21="Mayor"),CONCATENATE("R8C",'Mapa final'!$O$21),"")</f>
        <v/>
      </c>
      <c r="AH23" s="55" t="str">
        <f>IF(AND('Mapa final'!$Y$16="Alta",'Mapa final'!$AA$16="Catastrófico"),CONCATENATE("R8C",'Mapa final'!$O$16),"")</f>
        <v/>
      </c>
      <c r="AI23" s="56" t="str">
        <f>IF(AND('Mapa final'!$Y$17="Alta",'Mapa final'!$AA$17="Catastrófico"),CONCATENATE("R8C",'Mapa final'!$O$17),"")</f>
        <v/>
      </c>
      <c r="AJ23" s="56" t="str">
        <f>IF(AND('Mapa final'!$Y$18="Alta",'Mapa final'!$AA$18="Catastrófico"),CONCATENATE("R8C",'Mapa final'!$O$18),"")</f>
        <v/>
      </c>
      <c r="AK23" s="56" t="str">
        <f>IF(AND('Mapa final'!$Y$19="Alta",'Mapa final'!$AA$19="Catastrófico"),CONCATENATE("R8C",'Mapa final'!$O$19),"")</f>
        <v/>
      </c>
      <c r="AL23" s="56" t="str">
        <f>IF(AND('Mapa final'!$Y$20="Alta",'Mapa final'!$AA$20="Catastrófico"),CONCATENATE("R8C",'Mapa final'!$O$20),"")</f>
        <v/>
      </c>
      <c r="AM23" s="57" t="str">
        <f>IF(AND('Mapa final'!$Y$21="Alta",'Mapa final'!$AA$21="Catastrófico"),CONCATENATE("R8C",'Mapa final'!$O$21),"")</f>
        <v/>
      </c>
      <c r="AN23" s="83"/>
      <c r="AO23" s="343"/>
      <c r="AP23" s="344"/>
      <c r="AQ23" s="344"/>
      <c r="AR23" s="344"/>
      <c r="AS23" s="344"/>
      <c r="AT23" s="345"/>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92"/>
      <c r="C24" s="292"/>
      <c r="D24" s="293"/>
      <c r="E24" s="333"/>
      <c r="F24" s="334"/>
      <c r="G24" s="334"/>
      <c r="H24" s="334"/>
      <c r="I24" s="334"/>
      <c r="J24" s="67" t="str">
        <f>IF(AND('Mapa final'!$Y$22="Alta",'Mapa final'!$AA$22="Leve"),CONCATENATE("R9C",'Mapa final'!$O$22),"")</f>
        <v/>
      </c>
      <c r="K24" s="68" t="str">
        <f>IF(AND('Mapa final'!$Y$23="Alta",'Mapa final'!$AA$23="Leve"),CONCATENATE("R9C",'Mapa final'!$O$23),"")</f>
        <v/>
      </c>
      <c r="L24" s="68" t="str">
        <f>IF(AND('Mapa final'!$Y$24="Alta",'Mapa final'!$AA$24="Leve"),CONCATENATE("R9C",'Mapa final'!$O$24),"")</f>
        <v/>
      </c>
      <c r="M24" s="68" t="str">
        <f>IF(AND('Mapa final'!$Y$25="Alta",'Mapa final'!$AA$25="Leve"),CONCATENATE("R9C",'Mapa final'!$O$25),"")</f>
        <v/>
      </c>
      <c r="N24" s="68" t="str">
        <f>IF(AND('Mapa final'!$Y$26="Alta",'Mapa final'!$AA$26="Leve"),CONCATENATE("R9C",'Mapa final'!$O$26),"")</f>
        <v/>
      </c>
      <c r="O24" s="69" t="str">
        <f>IF(AND('Mapa final'!$Y$27="Alta",'Mapa final'!$AA$27="Leve"),CONCATENATE("R9C",'Mapa final'!$O$27),"")</f>
        <v/>
      </c>
      <c r="P24" s="67" t="str">
        <f>IF(AND('Mapa final'!$Y$22="Alta",'Mapa final'!$AA$22="Menor"),CONCATENATE("R9C",'Mapa final'!$O$22),"")</f>
        <v/>
      </c>
      <c r="Q24" s="68" t="str">
        <f>IF(AND('Mapa final'!$Y$23="Alta",'Mapa final'!$AA$23="Menor"),CONCATENATE("R9C",'Mapa final'!$O$23),"")</f>
        <v/>
      </c>
      <c r="R24" s="68" t="str">
        <f>IF(AND('Mapa final'!$Y$24="Alta",'Mapa final'!$AA$24="Menor"),CONCATENATE("R9C",'Mapa final'!$O$24),"")</f>
        <v/>
      </c>
      <c r="S24" s="68" t="str">
        <f>IF(AND('Mapa final'!$Y$25="Alta",'Mapa final'!$AA$25="Menor"),CONCATENATE("R9C",'Mapa final'!$O$25),"")</f>
        <v/>
      </c>
      <c r="T24" s="68" t="str">
        <f>IF(AND('Mapa final'!$Y$26="Alta",'Mapa final'!$AA$26="Menor"),CONCATENATE("R9C",'Mapa final'!$O$26),"")</f>
        <v/>
      </c>
      <c r="U24" s="69" t="str">
        <f>IF(AND('Mapa final'!$Y$27="Alta",'Mapa final'!$AA$27="Menor"),CONCATENATE("R9C",'Mapa final'!$O$27),"")</f>
        <v/>
      </c>
      <c r="V24" s="52" t="str">
        <f>IF(AND('Mapa final'!$Y$22="Alta",'Mapa final'!$AA$22="Moderado"),CONCATENATE("R9C",'Mapa final'!$O$22),"")</f>
        <v/>
      </c>
      <c r="W24" s="53" t="str">
        <f>IF(AND('Mapa final'!$Y$23="Alta",'Mapa final'!$AA$23="Moderado"),CONCATENATE("R9C",'Mapa final'!$O$23),"")</f>
        <v/>
      </c>
      <c r="X24" s="53" t="str">
        <f>IF(AND('Mapa final'!$Y$24="Alta",'Mapa final'!$AA$24="Moderado"),CONCATENATE("R9C",'Mapa final'!$O$24),"")</f>
        <v/>
      </c>
      <c r="Y24" s="53" t="str">
        <f>IF(AND('Mapa final'!$Y$25="Alta",'Mapa final'!$AA$25="Moderado"),CONCATENATE("R9C",'Mapa final'!$O$25),"")</f>
        <v/>
      </c>
      <c r="Z24" s="53" t="str">
        <f>IF(AND('Mapa final'!$Y$26="Alta",'Mapa final'!$AA$26="Moderado"),CONCATENATE("R9C",'Mapa final'!$O$26),"")</f>
        <v/>
      </c>
      <c r="AA24" s="54" t="str">
        <f>IF(AND('Mapa final'!$Y$27="Alta",'Mapa final'!$AA$27="Moderado"),CONCATENATE("R9C",'Mapa final'!$O$27),"")</f>
        <v/>
      </c>
      <c r="AB24" s="52" t="str">
        <f>IF(AND('Mapa final'!$Y$22="Alta",'Mapa final'!$AA$22="Mayor"),CONCATENATE("R9C",'Mapa final'!$O$22),"")</f>
        <v/>
      </c>
      <c r="AC24" s="53" t="str">
        <f>IF(AND('Mapa final'!$Y$23="Alta",'Mapa final'!$AA$23="Mayor"),CONCATENATE("R9C",'Mapa final'!$O$23),"")</f>
        <v/>
      </c>
      <c r="AD24" s="53" t="str">
        <f>IF(AND('Mapa final'!$Y$24="Alta",'Mapa final'!$AA$24="Mayor"),CONCATENATE("R9C",'Mapa final'!$O$24),"")</f>
        <v/>
      </c>
      <c r="AE24" s="53" t="str">
        <f>IF(AND('Mapa final'!$Y$25="Alta",'Mapa final'!$AA$25="Mayor"),CONCATENATE("R9C",'Mapa final'!$O$25),"")</f>
        <v/>
      </c>
      <c r="AF24" s="53" t="str">
        <f>IF(AND('Mapa final'!$Y$26="Alta",'Mapa final'!$AA$26="Mayor"),CONCATENATE("R9C",'Mapa final'!$O$26),"")</f>
        <v/>
      </c>
      <c r="AG24" s="54" t="str">
        <f>IF(AND('Mapa final'!$Y$27="Alta",'Mapa final'!$AA$27="Mayor"),CONCATENATE("R9C",'Mapa final'!$O$27),"")</f>
        <v/>
      </c>
      <c r="AH24" s="55" t="str">
        <f>IF(AND('Mapa final'!$Y$22="Alta",'Mapa final'!$AA$22="Catastrófico"),CONCATENATE("R9C",'Mapa final'!$O$22),"")</f>
        <v/>
      </c>
      <c r="AI24" s="56" t="str">
        <f>IF(AND('Mapa final'!$Y$23="Alta",'Mapa final'!$AA$23="Catastrófico"),CONCATENATE("R9C",'Mapa final'!$O$23),"")</f>
        <v/>
      </c>
      <c r="AJ24" s="56" t="str">
        <f>IF(AND('Mapa final'!$Y$24="Alta",'Mapa final'!$AA$24="Catastrófico"),CONCATENATE("R9C",'Mapa final'!$O$24),"")</f>
        <v/>
      </c>
      <c r="AK24" s="56" t="str">
        <f>IF(AND('Mapa final'!$Y$25="Alta",'Mapa final'!$AA$25="Catastrófico"),CONCATENATE("R9C",'Mapa final'!$O$25),"")</f>
        <v/>
      </c>
      <c r="AL24" s="56" t="str">
        <f>IF(AND('Mapa final'!$Y$26="Alta",'Mapa final'!$AA$26="Catastrófico"),CONCATENATE("R9C",'Mapa final'!$O$26),"")</f>
        <v/>
      </c>
      <c r="AM24" s="57" t="str">
        <f>IF(AND('Mapa final'!$Y$27="Alta",'Mapa final'!$AA$27="Catastrófico"),CONCATENATE("R9C",'Mapa final'!$O$27),"")</f>
        <v/>
      </c>
      <c r="AN24" s="83"/>
      <c r="AO24" s="343"/>
      <c r="AP24" s="344"/>
      <c r="AQ24" s="344"/>
      <c r="AR24" s="344"/>
      <c r="AS24" s="344"/>
      <c r="AT24" s="345"/>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92"/>
      <c r="C25" s="292"/>
      <c r="D25" s="293"/>
      <c r="E25" s="336"/>
      <c r="F25" s="337"/>
      <c r="G25" s="337"/>
      <c r="H25" s="337"/>
      <c r="I25" s="337"/>
      <c r="J25" s="70" t="str">
        <f>IF(AND('Mapa final'!$Y$28="Alta",'Mapa final'!$AA$28="Leve"),CONCATENATE("R10C",'Mapa final'!$O$28),"")</f>
        <v/>
      </c>
      <c r="K25" s="71" t="str">
        <f>IF(AND('Mapa final'!$Y$29="Alta",'Mapa final'!$AA$29="Leve"),CONCATENATE("R10C",'Mapa final'!$O$29),"")</f>
        <v/>
      </c>
      <c r="L25" s="71" t="str">
        <f>IF(AND('Mapa final'!$Y$30="Alta",'Mapa final'!$AA$30="Leve"),CONCATENATE("R10C",'Mapa final'!$O$30),"")</f>
        <v/>
      </c>
      <c r="M25" s="71" t="str">
        <f>IF(AND('Mapa final'!$Y$31="Alta",'Mapa final'!$AA$31="Leve"),CONCATENATE("R10C",'Mapa final'!$O$31),"")</f>
        <v/>
      </c>
      <c r="N25" s="71" t="str">
        <f>IF(AND('Mapa final'!$Y$32="Alta",'Mapa final'!$AA$32="Leve"),CONCATENATE("R10C",'Mapa final'!$O$32),"")</f>
        <v/>
      </c>
      <c r="O25" s="72" t="str">
        <f>IF(AND('Mapa final'!$Y$33="Alta",'Mapa final'!$AA$33="Leve"),CONCATENATE("R10C",'Mapa final'!$O$33),"")</f>
        <v/>
      </c>
      <c r="P25" s="70" t="str">
        <f>IF(AND('Mapa final'!$Y$28="Alta",'Mapa final'!$AA$28="Menor"),CONCATENATE("R10C",'Mapa final'!$O$28),"")</f>
        <v/>
      </c>
      <c r="Q25" s="71" t="str">
        <f>IF(AND('Mapa final'!$Y$29="Alta",'Mapa final'!$AA$29="Menor"),CONCATENATE("R10C",'Mapa final'!$O$29),"")</f>
        <v/>
      </c>
      <c r="R25" s="71" t="str">
        <f>IF(AND('Mapa final'!$Y$30="Alta",'Mapa final'!$AA$30="Menor"),CONCATENATE("R10C",'Mapa final'!$O$30),"")</f>
        <v/>
      </c>
      <c r="S25" s="71" t="str">
        <f>IF(AND('Mapa final'!$Y$31="Alta",'Mapa final'!$AA$31="Menor"),CONCATENATE("R10C",'Mapa final'!$O$31),"")</f>
        <v/>
      </c>
      <c r="T25" s="71" t="str">
        <f>IF(AND('Mapa final'!$Y$32="Alta",'Mapa final'!$AA$32="Menor"),CONCATENATE("R10C",'Mapa final'!$O$32),"")</f>
        <v/>
      </c>
      <c r="U25" s="72" t="str">
        <f>IF(AND('Mapa final'!$Y$33="Alta",'Mapa final'!$AA$33="Menor"),CONCATENATE("R10C",'Mapa final'!$O$33),"")</f>
        <v/>
      </c>
      <c r="V25" s="58" t="str">
        <f>IF(AND('Mapa final'!$Y$28="Alta",'Mapa final'!$AA$28="Moderado"),CONCATENATE("R10C",'Mapa final'!$O$28),"")</f>
        <v/>
      </c>
      <c r="W25" s="59" t="str">
        <f>IF(AND('Mapa final'!$Y$29="Alta",'Mapa final'!$AA$29="Moderado"),CONCATENATE("R10C",'Mapa final'!$O$29),"")</f>
        <v/>
      </c>
      <c r="X25" s="59" t="str">
        <f>IF(AND('Mapa final'!$Y$30="Alta",'Mapa final'!$AA$30="Moderado"),CONCATENATE("R10C",'Mapa final'!$O$30),"")</f>
        <v/>
      </c>
      <c r="Y25" s="59" t="str">
        <f>IF(AND('Mapa final'!$Y$31="Alta",'Mapa final'!$AA$31="Moderado"),CONCATENATE("R10C",'Mapa final'!$O$31),"")</f>
        <v/>
      </c>
      <c r="Z25" s="59" t="str">
        <f>IF(AND('Mapa final'!$Y$32="Alta",'Mapa final'!$AA$32="Moderado"),CONCATENATE("R10C",'Mapa final'!$O$32),"")</f>
        <v/>
      </c>
      <c r="AA25" s="60" t="str">
        <f>IF(AND('Mapa final'!$Y$33="Alta",'Mapa final'!$AA$33="Moderado"),CONCATENATE("R10C",'Mapa final'!$O$33),"")</f>
        <v/>
      </c>
      <c r="AB25" s="58" t="str">
        <f>IF(AND('Mapa final'!$Y$28="Alta",'Mapa final'!$AA$28="Mayor"),CONCATENATE("R10C",'Mapa final'!$O$28),"")</f>
        <v/>
      </c>
      <c r="AC25" s="59" t="str">
        <f>IF(AND('Mapa final'!$Y$29="Alta",'Mapa final'!$AA$29="Mayor"),CONCATENATE("R10C",'Mapa final'!$O$29),"")</f>
        <v/>
      </c>
      <c r="AD25" s="59" t="str">
        <f>IF(AND('Mapa final'!$Y$30="Alta",'Mapa final'!$AA$30="Mayor"),CONCATENATE("R10C",'Mapa final'!$O$30),"")</f>
        <v/>
      </c>
      <c r="AE25" s="59" t="str">
        <f>IF(AND('Mapa final'!$Y$31="Alta",'Mapa final'!$AA$31="Mayor"),CONCATENATE("R10C",'Mapa final'!$O$31),"")</f>
        <v/>
      </c>
      <c r="AF25" s="59" t="str">
        <f>IF(AND('Mapa final'!$Y$32="Alta",'Mapa final'!$AA$32="Mayor"),CONCATENATE("R10C",'Mapa final'!$O$32),"")</f>
        <v/>
      </c>
      <c r="AG25" s="60" t="str">
        <f>IF(AND('Mapa final'!$Y$33="Alta",'Mapa final'!$AA$33="Mayor"),CONCATENATE("R10C",'Mapa final'!$O$33),"")</f>
        <v/>
      </c>
      <c r="AH25" s="61" t="str">
        <f>IF(AND('Mapa final'!$Y$28="Alta",'Mapa final'!$AA$28="Catastrófico"),CONCATENATE("R10C",'Mapa final'!$O$28),"")</f>
        <v/>
      </c>
      <c r="AI25" s="62" t="str">
        <f>IF(AND('Mapa final'!$Y$29="Alta",'Mapa final'!$AA$29="Catastrófico"),CONCATENATE("R10C",'Mapa final'!$O$29),"")</f>
        <v/>
      </c>
      <c r="AJ25" s="62" t="str">
        <f>IF(AND('Mapa final'!$Y$30="Alta",'Mapa final'!$AA$30="Catastrófico"),CONCATENATE("R10C",'Mapa final'!$O$30),"")</f>
        <v/>
      </c>
      <c r="AK25" s="62" t="str">
        <f>IF(AND('Mapa final'!$Y$31="Alta",'Mapa final'!$AA$31="Catastrófico"),CONCATENATE("R10C",'Mapa final'!$O$31),"")</f>
        <v/>
      </c>
      <c r="AL25" s="62" t="str">
        <f>IF(AND('Mapa final'!$Y$32="Alta",'Mapa final'!$AA$32="Catastrófico"),CONCATENATE("R10C",'Mapa final'!$O$32),"")</f>
        <v/>
      </c>
      <c r="AM25" s="63" t="str">
        <f>IF(AND('Mapa final'!$Y$33="Alta",'Mapa final'!$AA$33="Catastrófico"),CONCATENATE("R10C",'Mapa final'!$O$33),"")</f>
        <v/>
      </c>
      <c r="AN25" s="83"/>
      <c r="AO25" s="346"/>
      <c r="AP25" s="347"/>
      <c r="AQ25" s="347"/>
      <c r="AR25" s="347"/>
      <c r="AS25" s="347"/>
      <c r="AT25" s="348"/>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92"/>
      <c r="C26" s="292"/>
      <c r="D26" s="293"/>
      <c r="E26" s="330" t="s">
        <v>117</v>
      </c>
      <c r="F26" s="331"/>
      <c r="G26" s="331"/>
      <c r="H26" s="331"/>
      <c r="I26" s="332"/>
      <c r="J26" s="64" t="str">
        <f>IF(AND('Mapa final'!$Y$10="Media",'Mapa final'!$AA$10="Leve"),CONCATENATE("R1C",'Mapa final'!$O$10),"")</f>
        <v/>
      </c>
      <c r="K26" s="65" t="e">
        <f>IF(AND('Mapa final'!#REF!="Media",'Mapa final'!#REF!="Leve"),CONCATENATE("R1C",'Mapa final'!#REF!),"")</f>
        <v>#REF!</v>
      </c>
      <c r="L26" s="65" t="e">
        <f>IF(AND('Mapa final'!#REF!="Media",'Mapa final'!#REF!="Leve"),CONCATENATE("R1C",'Mapa final'!#REF!),"")</f>
        <v>#REF!</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str">
        <f>IF(AND('Mapa final'!$Y$10="Media",'Mapa final'!$AA$10="Menor"),CONCATENATE("R1C",'Mapa final'!$O$10),"")</f>
        <v/>
      </c>
      <c r="Q26" s="65" t="e">
        <f>IF(AND('Mapa final'!#REF!="Media",'Mapa final'!#REF!="Menor"),CONCATENATE("R1C",'Mapa final'!#REF!),"")</f>
        <v>#REF!</v>
      </c>
      <c r="R26" s="65" t="e">
        <f>IF(AND('Mapa final'!#REF!="Media",'Mapa final'!#REF!="Menor"),CONCATENATE("R1C",'Mapa final'!#REF!),"")</f>
        <v>#REF!</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str">
        <f>IF(AND('Mapa final'!$Y$10="Media",'Mapa final'!$AA$10="Moderado"),CONCATENATE("R1C",'Mapa final'!$O$10),"")</f>
        <v>R1C1</v>
      </c>
      <c r="W26" s="65" t="e">
        <f>IF(AND('Mapa final'!#REF!="Media",'Mapa final'!#REF!="Moderado"),CONCATENATE("R1C",'Mapa final'!#REF!),"")</f>
        <v>#REF!</v>
      </c>
      <c r="X26" s="65" t="e">
        <f>IF(AND('Mapa final'!#REF!="Media",'Mapa final'!#REF!="Moderado"),CONCATENATE("R1C",'Mapa final'!#REF!),"")</f>
        <v>#REF!</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str">
        <f>IF(AND('Mapa final'!$Y$10="Media",'Mapa final'!$AA$10="Mayor"),CONCATENATE("R1C",'Mapa final'!$O$10),"")</f>
        <v/>
      </c>
      <c r="AC26" s="47" t="e">
        <f>IF(AND('Mapa final'!#REF!="Media",'Mapa final'!#REF!="Mayor"),CONCATENATE("R1C",'Mapa final'!#REF!),"")</f>
        <v>#REF!</v>
      </c>
      <c r="AD26" s="47" t="e">
        <f>IF(AND('Mapa final'!#REF!="Media",'Mapa final'!#REF!="Mayor"),CONCATENATE("R1C",'Mapa final'!#REF!),"")</f>
        <v>#REF!</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IF(AND('Mapa final'!$Y$10="Media",'Mapa final'!$AA$10="Catastrófico"),CONCATENATE("R1C",'Mapa final'!$O$10),"")</f>
        <v/>
      </c>
      <c r="AI26" s="50" t="e">
        <f>IF(AND('Mapa final'!#REF!="Media",'Mapa final'!#REF!="Catastrófico"),CONCATENATE("R1C",'Mapa final'!#REF!),"")</f>
        <v>#REF!</v>
      </c>
      <c r="AJ26" s="50" t="e">
        <f>IF(AND('Mapa final'!#REF!="Media",'Mapa final'!#REF!="Catastrófico"),CONCATENATE("R1C",'Mapa final'!#REF!),"")</f>
        <v>#REF!</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370" t="s">
        <v>81</v>
      </c>
      <c r="AP26" s="371"/>
      <c r="AQ26" s="371"/>
      <c r="AR26" s="371"/>
      <c r="AS26" s="371"/>
      <c r="AT26" s="37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92"/>
      <c r="C27" s="292"/>
      <c r="D27" s="293"/>
      <c r="E27" s="349"/>
      <c r="F27" s="334"/>
      <c r="G27" s="334"/>
      <c r="H27" s="334"/>
      <c r="I27" s="335"/>
      <c r="J27" s="67" t="e">
        <f>IF(AND('Mapa final'!#REF!="Media",'Mapa final'!#REF!="Leve"),CONCATENATE("R2C",'Mapa final'!#REF!),"")</f>
        <v>#REF!</v>
      </c>
      <c r="K27" s="68" t="e">
        <f>IF(AND('Mapa final'!#REF!="Media",'Mapa final'!#REF!="Leve"),CONCATENATE("R2C",'Mapa final'!#REF!),"")</f>
        <v>#REF!</v>
      </c>
      <c r="L27" s="68" t="e">
        <f>IF(AND('Mapa final'!#REF!="Media",'Mapa final'!#REF!="Leve"),CONCATENATE("R2C",'Mapa final'!#REF!),"")</f>
        <v>#REF!</v>
      </c>
      <c r="M27" s="68" t="e">
        <f>IF(AND('Mapa final'!#REF!="Media",'Mapa final'!#REF!="Leve"),CONCATENATE("R2C",'Mapa final'!#REF!),"")</f>
        <v>#REF!</v>
      </c>
      <c r="N27" s="68" t="e">
        <f>IF(AND('Mapa final'!#REF!="Media",'Mapa final'!#REF!="Leve"),CONCATENATE("R2C",'Mapa final'!#REF!),"")</f>
        <v>#REF!</v>
      </c>
      <c r="O27" s="69" t="e">
        <f>IF(AND('Mapa final'!#REF!="Media",'Mapa final'!#REF!="Leve"),CONCATENATE("R2C",'Mapa final'!#REF!),"")</f>
        <v>#REF!</v>
      </c>
      <c r="P27" s="67" t="e">
        <f>IF(AND('Mapa final'!#REF!="Media",'Mapa final'!#REF!="Menor"),CONCATENATE("R2C",'Mapa final'!#REF!),"")</f>
        <v>#REF!</v>
      </c>
      <c r="Q27" s="68" t="e">
        <f>IF(AND('Mapa final'!#REF!="Media",'Mapa final'!#REF!="Menor"),CONCATENATE("R2C",'Mapa final'!#REF!),"")</f>
        <v>#REF!</v>
      </c>
      <c r="R27" s="68" t="e">
        <f>IF(AND('Mapa final'!#REF!="Media",'Mapa final'!#REF!="Menor"),CONCATENATE("R2C",'Mapa final'!#REF!),"")</f>
        <v>#REF!</v>
      </c>
      <c r="S27" s="68" t="e">
        <f>IF(AND('Mapa final'!#REF!="Media",'Mapa final'!#REF!="Menor"),CONCATENATE("R2C",'Mapa final'!#REF!),"")</f>
        <v>#REF!</v>
      </c>
      <c r="T27" s="68" t="e">
        <f>IF(AND('Mapa final'!#REF!="Media",'Mapa final'!#REF!="Menor"),CONCATENATE("R2C",'Mapa final'!#REF!),"")</f>
        <v>#REF!</v>
      </c>
      <c r="U27" s="69" t="e">
        <f>IF(AND('Mapa final'!#REF!="Media",'Mapa final'!#REF!="Menor"),CONCATENATE("R2C",'Mapa final'!#REF!),"")</f>
        <v>#REF!</v>
      </c>
      <c r="V27" s="67" t="e">
        <f>IF(AND('Mapa final'!#REF!="Media",'Mapa final'!#REF!="Moderado"),CONCATENATE("R2C",'Mapa final'!#REF!),"")</f>
        <v>#REF!</v>
      </c>
      <c r="W27" s="68" t="e">
        <f>IF(AND('Mapa final'!#REF!="Media",'Mapa final'!#REF!="Moderado"),CONCATENATE("R2C",'Mapa final'!#REF!),"")</f>
        <v>#REF!</v>
      </c>
      <c r="X27" s="68" t="e">
        <f>IF(AND('Mapa final'!#REF!="Media",'Mapa final'!#REF!="Moderado"),CONCATENATE("R2C",'Mapa final'!#REF!),"")</f>
        <v>#REF!</v>
      </c>
      <c r="Y27" s="68" t="e">
        <f>IF(AND('Mapa final'!#REF!="Media",'Mapa final'!#REF!="Moderado"),CONCATENATE("R2C",'Mapa final'!#REF!),"")</f>
        <v>#REF!</v>
      </c>
      <c r="Z27" s="68" t="e">
        <f>IF(AND('Mapa final'!#REF!="Media",'Mapa final'!#REF!="Moderado"),CONCATENATE("R2C",'Mapa final'!#REF!),"")</f>
        <v>#REF!</v>
      </c>
      <c r="AA27" s="69" t="e">
        <f>IF(AND('Mapa final'!#REF!="Media",'Mapa final'!#REF!="Moderado"),CONCATENATE("R2C",'Mapa final'!#REF!),"")</f>
        <v>#REF!</v>
      </c>
      <c r="AB27" s="52" t="e">
        <f>IF(AND('Mapa final'!#REF!="Media",'Mapa final'!#REF!="Mayor"),CONCATENATE("R2C",'Mapa final'!#REF!),"")</f>
        <v>#REF!</v>
      </c>
      <c r="AC27" s="53" t="e">
        <f>IF(AND('Mapa final'!#REF!="Media",'Mapa final'!#REF!="Mayor"),CONCATENATE("R2C",'Mapa final'!#REF!),"")</f>
        <v>#REF!</v>
      </c>
      <c r="AD27" s="53" t="e">
        <f>IF(AND('Mapa final'!#REF!="Media",'Mapa final'!#REF!="Mayor"),CONCATENATE("R2C",'Mapa final'!#REF!),"")</f>
        <v>#REF!</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e">
        <f>IF(AND('Mapa final'!#REF!="Media",'Mapa final'!#REF!="Catastrófico"),CONCATENATE("R2C",'Mapa final'!#REF!),"")</f>
        <v>#REF!</v>
      </c>
      <c r="AI27" s="56" t="e">
        <f>IF(AND('Mapa final'!#REF!="Media",'Mapa final'!#REF!="Catastrófico"),CONCATENATE("R2C",'Mapa final'!#REF!),"")</f>
        <v>#REF!</v>
      </c>
      <c r="AJ27" s="56" t="e">
        <f>IF(AND('Mapa final'!#REF!="Media",'Mapa final'!#REF!="Catastrófico"),CONCATENATE("R2C",'Mapa final'!#REF!),"")</f>
        <v>#REF!</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3"/>
      <c r="AO27" s="373"/>
      <c r="AP27" s="374"/>
      <c r="AQ27" s="374"/>
      <c r="AR27" s="374"/>
      <c r="AS27" s="374"/>
      <c r="AT27" s="375"/>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92"/>
      <c r="C28" s="292"/>
      <c r="D28" s="293"/>
      <c r="E28" s="333"/>
      <c r="F28" s="334"/>
      <c r="G28" s="334"/>
      <c r="H28" s="334"/>
      <c r="I28" s="335"/>
      <c r="J28" s="67" t="str">
        <f>IF(AND('Mapa final'!$Y$11="Media",'Mapa final'!$AA$11="Leve"),CONCATENATE("R3C",'Mapa final'!$O$11),"")</f>
        <v/>
      </c>
      <c r="K28" s="68" t="e">
        <f>IF(AND('Mapa final'!#REF!="Media",'Mapa final'!#REF!="Leve"),CONCATENATE("R3C",'Mapa final'!#REF!),"")</f>
        <v>#REF!</v>
      </c>
      <c r="L28" s="68" t="e">
        <f>IF(AND('Mapa final'!#REF!="Media",'Mapa final'!#REF!="Leve"),CONCATENATE("R3C",'Mapa final'!#REF!),"")</f>
        <v>#REF!</v>
      </c>
      <c r="M28" s="68" t="e">
        <f>IF(AND('Mapa final'!#REF!="Media",'Mapa final'!#REF!="Leve"),CONCATENATE("R3C",'Mapa final'!#REF!),"")</f>
        <v>#REF!</v>
      </c>
      <c r="N28" s="68" t="e">
        <f>IF(AND('Mapa final'!#REF!="Media",'Mapa final'!#REF!="Leve"),CONCATENATE("R3C",'Mapa final'!#REF!),"")</f>
        <v>#REF!</v>
      </c>
      <c r="O28" s="69" t="e">
        <f>IF(AND('Mapa final'!#REF!="Media",'Mapa final'!#REF!="Leve"),CONCATENATE("R3C",'Mapa final'!#REF!),"")</f>
        <v>#REF!</v>
      </c>
      <c r="P28" s="67" t="str">
        <f>IF(AND('Mapa final'!$Y$11="Media",'Mapa final'!$AA$11="Menor"),CONCATENATE("R3C",'Mapa final'!$O$11),"")</f>
        <v/>
      </c>
      <c r="Q28" s="68" t="e">
        <f>IF(AND('Mapa final'!#REF!="Media",'Mapa final'!#REF!="Menor"),CONCATENATE("R3C",'Mapa final'!#REF!),"")</f>
        <v>#REF!</v>
      </c>
      <c r="R28" s="68" t="e">
        <f>IF(AND('Mapa final'!#REF!="Media",'Mapa final'!#REF!="Menor"),CONCATENATE("R3C",'Mapa final'!#REF!),"")</f>
        <v>#REF!</v>
      </c>
      <c r="S28" s="68" t="e">
        <f>IF(AND('Mapa final'!#REF!="Media",'Mapa final'!#REF!="Menor"),CONCATENATE("R3C",'Mapa final'!#REF!),"")</f>
        <v>#REF!</v>
      </c>
      <c r="T28" s="68" t="e">
        <f>IF(AND('Mapa final'!#REF!="Media",'Mapa final'!#REF!="Menor"),CONCATENATE("R3C",'Mapa final'!#REF!),"")</f>
        <v>#REF!</v>
      </c>
      <c r="U28" s="69" t="e">
        <f>IF(AND('Mapa final'!#REF!="Media",'Mapa final'!#REF!="Menor"),CONCATENATE("R3C",'Mapa final'!#REF!),"")</f>
        <v>#REF!</v>
      </c>
      <c r="V28" s="67" t="str">
        <f>IF(AND('Mapa final'!$Y$11="Media",'Mapa final'!$AA$11="Moderado"),CONCATENATE("R3C",'Mapa final'!$O$11),"")</f>
        <v>R3C1</v>
      </c>
      <c r="W28" s="68" t="e">
        <f>IF(AND('Mapa final'!#REF!="Media",'Mapa final'!#REF!="Moderado"),CONCATENATE("R3C",'Mapa final'!#REF!),"")</f>
        <v>#REF!</v>
      </c>
      <c r="X28" s="68" t="e">
        <f>IF(AND('Mapa final'!#REF!="Media",'Mapa final'!#REF!="Moderado"),CONCATENATE("R3C",'Mapa final'!#REF!),"")</f>
        <v>#REF!</v>
      </c>
      <c r="Y28" s="68" t="e">
        <f>IF(AND('Mapa final'!#REF!="Media",'Mapa final'!#REF!="Moderado"),CONCATENATE("R3C",'Mapa final'!#REF!),"")</f>
        <v>#REF!</v>
      </c>
      <c r="Z28" s="68" t="e">
        <f>IF(AND('Mapa final'!#REF!="Media",'Mapa final'!#REF!="Moderado"),CONCATENATE("R3C",'Mapa final'!#REF!),"")</f>
        <v>#REF!</v>
      </c>
      <c r="AA28" s="69" t="e">
        <f>IF(AND('Mapa final'!#REF!="Media",'Mapa final'!#REF!="Moderado"),CONCATENATE("R3C",'Mapa final'!#REF!),"")</f>
        <v>#REF!</v>
      </c>
      <c r="AB28" s="52" t="str">
        <f>IF(AND('Mapa final'!$Y$11="Media",'Mapa final'!$AA$11="Mayor"),CONCATENATE("R3C",'Mapa final'!$O$11),"")</f>
        <v/>
      </c>
      <c r="AC28" s="53" t="e">
        <f>IF(AND('Mapa final'!#REF!="Media",'Mapa final'!#REF!="Mayor"),CONCATENATE("R3C",'Mapa final'!#REF!),"")</f>
        <v>#REF!</v>
      </c>
      <c r="AD28" s="53" t="e">
        <f>IF(AND('Mapa final'!#REF!="Media",'Mapa final'!#REF!="Mayor"),CONCATENATE("R3C",'Mapa final'!#REF!),"")</f>
        <v>#REF!</v>
      </c>
      <c r="AE28" s="53" t="e">
        <f>IF(AND('Mapa final'!#REF!="Media",'Mapa final'!#REF!="Mayor"),CONCATENATE("R3C",'Mapa final'!#REF!),"")</f>
        <v>#REF!</v>
      </c>
      <c r="AF28" s="53" t="e">
        <f>IF(AND('Mapa final'!#REF!="Media",'Mapa final'!#REF!="Mayor"),CONCATENATE("R3C",'Mapa final'!#REF!),"")</f>
        <v>#REF!</v>
      </c>
      <c r="AG28" s="54" t="e">
        <f>IF(AND('Mapa final'!#REF!="Media",'Mapa final'!#REF!="Mayor"),CONCATENATE("R3C",'Mapa final'!#REF!),"")</f>
        <v>#REF!</v>
      </c>
      <c r="AH28" s="55" t="str">
        <f>IF(AND('Mapa final'!$Y$11="Media",'Mapa final'!$AA$11="Catastrófico"),CONCATENATE("R3C",'Mapa final'!$O$11),"")</f>
        <v/>
      </c>
      <c r="AI28" s="56" t="e">
        <f>IF(AND('Mapa final'!#REF!="Media",'Mapa final'!#REF!="Catastrófico"),CONCATENATE("R3C",'Mapa final'!#REF!),"")</f>
        <v>#REF!</v>
      </c>
      <c r="AJ28" s="56" t="e">
        <f>IF(AND('Mapa final'!#REF!="Media",'Mapa final'!#REF!="Catastrófico"),CONCATENATE("R3C",'Mapa final'!#REF!),"")</f>
        <v>#REF!</v>
      </c>
      <c r="AK28" s="56" t="e">
        <f>IF(AND('Mapa final'!#REF!="Media",'Mapa final'!#REF!="Catastrófico"),CONCATENATE("R3C",'Mapa final'!#REF!),"")</f>
        <v>#REF!</v>
      </c>
      <c r="AL28" s="56" t="e">
        <f>IF(AND('Mapa final'!#REF!="Media",'Mapa final'!#REF!="Catastrófico"),CONCATENATE("R3C",'Mapa final'!#REF!),"")</f>
        <v>#REF!</v>
      </c>
      <c r="AM28" s="57" t="e">
        <f>IF(AND('Mapa final'!#REF!="Media",'Mapa final'!#REF!="Catastrófico"),CONCATENATE("R3C",'Mapa final'!#REF!),"")</f>
        <v>#REF!</v>
      </c>
      <c r="AN28" s="83"/>
      <c r="AO28" s="373"/>
      <c r="AP28" s="374"/>
      <c r="AQ28" s="374"/>
      <c r="AR28" s="374"/>
      <c r="AS28" s="374"/>
      <c r="AT28" s="375"/>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92"/>
      <c r="C29" s="292"/>
      <c r="D29" s="293"/>
      <c r="E29" s="333"/>
      <c r="F29" s="334"/>
      <c r="G29" s="334"/>
      <c r="H29" s="334"/>
      <c r="I29" s="335"/>
      <c r="J29" s="67" t="str">
        <f>IF(AND('Mapa final'!$Y$12="Media",'Mapa final'!$AA$12="Leve"),CONCATENATE("R4C",'Mapa final'!$O$12),"")</f>
        <v/>
      </c>
      <c r="K29" s="68" t="e">
        <f>IF(AND('Mapa final'!#REF!="Media",'Mapa final'!#REF!="Leve"),CONCATENATE("R4C",'Mapa final'!#REF!),"")</f>
        <v>#REF!</v>
      </c>
      <c r="L29" s="68" t="e">
        <f>IF(AND('Mapa final'!#REF!="Media",'Mapa final'!#REF!="Leve"),CONCATENATE("R4C",'Mapa final'!#REF!),"")</f>
        <v>#REF!</v>
      </c>
      <c r="M29" s="68" t="e">
        <f>IF(AND('Mapa final'!#REF!="Media",'Mapa final'!#REF!="Leve"),CONCATENATE("R4C",'Mapa final'!#REF!),"")</f>
        <v>#REF!</v>
      </c>
      <c r="N29" s="68" t="e">
        <f>IF(AND('Mapa final'!#REF!="Media",'Mapa final'!#REF!="Leve"),CONCATENATE("R4C",'Mapa final'!#REF!),"")</f>
        <v>#REF!</v>
      </c>
      <c r="O29" s="69" t="e">
        <f>IF(AND('Mapa final'!#REF!="Media",'Mapa final'!#REF!="Leve"),CONCATENATE("R4C",'Mapa final'!#REF!),"")</f>
        <v>#REF!</v>
      </c>
      <c r="P29" s="67" t="str">
        <f>IF(AND('Mapa final'!$Y$12="Media",'Mapa final'!$AA$12="Menor"),CONCATENATE("R4C",'Mapa final'!$O$12),"")</f>
        <v/>
      </c>
      <c r="Q29" s="68" t="e">
        <f>IF(AND('Mapa final'!#REF!="Media",'Mapa final'!#REF!="Menor"),CONCATENATE("R4C",'Mapa final'!#REF!),"")</f>
        <v>#REF!</v>
      </c>
      <c r="R29" s="68" t="e">
        <f>IF(AND('Mapa final'!#REF!="Media",'Mapa final'!#REF!="Menor"),CONCATENATE("R4C",'Mapa final'!#REF!),"")</f>
        <v>#REF!</v>
      </c>
      <c r="S29" s="68" t="e">
        <f>IF(AND('Mapa final'!#REF!="Media",'Mapa final'!#REF!="Menor"),CONCATENATE("R4C",'Mapa final'!#REF!),"")</f>
        <v>#REF!</v>
      </c>
      <c r="T29" s="68" t="e">
        <f>IF(AND('Mapa final'!#REF!="Media",'Mapa final'!#REF!="Menor"),CONCATENATE("R4C",'Mapa final'!#REF!),"")</f>
        <v>#REF!</v>
      </c>
      <c r="U29" s="69" t="e">
        <f>IF(AND('Mapa final'!#REF!="Media",'Mapa final'!#REF!="Menor"),CONCATENATE("R4C",'Mapa final'!#REF!),"")</f>
        <v>#REF!</v>
      </c>
      <c r="V29" s="67" t="str">
        <f>IF(AND('Mapa final'!$Y$12="Media",'Mapa final'!$AA$12="Moderado"),CONCATENATE("R4C",'Mapa final'!$O$12),"")</f>
        <v>R4C1</v>
      </c>
      <c r="W29" s="68" t="e">
        <f>IF(AND('Mapa final'!#REF!="Media",'Mapa final'!#REF!="Moderado"),CONCATENATE("R4C",'Mapa final'!#REF!),"")</f>
        <v>#REF!</v>
      </c>
      <c r="X29" s="68" t="e">
        <f>IF(AND('Mapa final'!#REF!="Media",'Mapa final'!#REF!="Moderado"),CONCATENATE("R4C",'Mapa final'!#REF!),"")</f>
        <v>#REF!</v>
      </c>
      <c r="Y29" s="68" t="e">
        <f>IF(AND('Mapa final'!#REF!="Media",'Mapa final'!#REF!="Moderado"),CONCATENATE("R4C",'Mapa final'!#REF!),"")</f>
        <v>#REF!</v>
      </c>
      <c r="Z29" s="68" t="e">
        <f>IF(AND('Mapa final'!#REF!="Media",'Mapa final'!#REF!="Moderado"),CONCATENATE("R4C",'Mapa final'!#REF!),"")</f>
        <v>#REF!</v>
      </c>
      <c r="AA29" s="69" t="e">
        <f>IF(AND('Mapa final'!#REF!="Media",'Mapa final'!#REF!="Moderado"),CONCATENATE("R4C",'Mapa final'!#REF!),"")</f>
        <v>#REF!</v>
      </c>
      <c r="AB29" s="52" t="str">
        <f>IF(AND('Mapa final'!$Y$12="Media",'Mapa final'!$AA$12="Mayor"),CONCATENATE("R4C",'Mapa final'!$O$12),"")</f>
        <v/>
      </c>
      <c r="AC29" s="53" t="e">
        <f>IF(AND('Mapa final'!#REF!="Media",'Mapa final'!#REF!="Mayor"),CONCATENATE("R4C",'Mapa final'!#REF!),"")</f>
        <v>#REF!</v>
      </c>
      <c r="AD29" s="53" t="e">
        <f>IF(AND('Mapa final'!#REF!="Media",'Mapa final'!#REF!="Mayor"),CONCATENATE("R4C",'Mapa final'!#REF!),"")</f>
        <v>#REF!</v>
      </c>
      <c r="AE29" s="53" t="e">
        <f>IF(AND('Mapa final'!#REF!="Media",'Mapa final'!#REF!="Mayor"),CONCATENATE("R4C",'Mapa final'!#REF!),"")</f>
        <v>#REF!</v>
      </c>
      <c r="AF29" s="53" t="e">
        <f>IF(AND('Mapa final'!#REF!="Media",'Mapa final'!#REF!="Mayor"),CONCATENATE("R4C",'Mapa final'!#REF!),"")</f>
        <v>#REF!</v>
      </c>
      <c r="AG29" s="54" t="e">
        <f>IF(AND('Mapa final'!#REF!="Media",'Mapa final'!#REF!="Mayor"),CONCATENATE("R4C",'Mapa final'!#REF!),"")</f>
        <v>#REF!</v>
      </c>
      <c r="AH29" s="55" t="str">
        <f>IF(AND('Mapa final'!$Y$12="Media",'Mapa final'!$AA$12="Catastrófico"),CONCATENATE("R4C",'Mapa final'!$O$12),"")</f>
        <v/>
      </c>
      <c r="AI29" s="56" t="e">
        <f>IF(AND('Mapa final'!#REF!="Media",'Mapa final'!#REF!="Catastrófico"),CONCATENATE("R4C",'Mapa final'!#REF!),"")</f>
        <v>#REF!</v>
      </c>
      <c r="AJ29" s="56" t="e">
        <f>IF(AND('Mapa final'!#REF!="Media",'Mapa final'!#REF!="Catastrófico"),CONCATENATE("R4C",'Mapa final'!#REF!),"")</f>
        <v>#REF!</v>
      </c>
      <c r="AK29" s="56" t="e">
        <f>IF(AND('Mapa final'!#REF!="Media",'Mapa final'!#REF!="Catastrófico"),CONCATENATE("R4C",'Mapa final'!#REF!),"")</f>
        <v>#REF!</v>
      </c>
      <c r="AL29" s="56" t="e">
        <f>IF(AND('Mapa final'!#REF!="Media",'Mapa final'!#REF!="Catastrófico"),CONCATENATE("R4C",'Mapa final'!#REF!),"")</f>
        <v>#REF!</v>
      </c>
      <c r="AM29" s="57" t="e">
        <f>IF(AND('Mapa final'!#REF!="Media",'Mapa final'!#REF!="Catastrófico"),CONCATENATE("R4C",'Mapa final'!#REF!),"")</f>
        <v>#REF!</v>
      </c>
      <c r="AN29" s="83"/>
      <c r="AO29" s="373"/>
      <c r="AP29" s="374"/>
      <c r="AQ29" s="374"/>
      <c r="AR29" s="374"/>
      <c r="AS29" s="374"/>
      <c r="AT29" s="37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92"/>
      <c r="C30" s="292"/>
      <c r="D30" s="293"/>
      <c r="E30" s="333"/>
      <c r="F30" s="334"/>
      <c r="G30" s="334"/>
      <c r="H30" s="334"/>
      <c r="I30" s="335"/>
      <c r="J30" s="67" t="str">
        <f>IF(AND('Mapa final'!$Y$13="Media",'Mapa final'!$AA$13="Leve"),CONCATENATE("R5C",'Mapa final'!$O$13),"")</f>
        <v/>
      </c>
      <c r="K30" s="68" t="e">
        <f>IF(AND('Mapa final'!#REF!="Media",'Mapa final'!#REF!="Leve"),CONCATENATE("R5C",'Mapa final'!#REF!),"")</f>
        <v>#REF!</v>
      </c>
      <c r="L30" s="68" t="e">
        <f>IF(AND('Mapa final'!#REF!="Media",'Mapa final'!#REF!="Leve"),CONCATENATE("R5C",'Mapa final'!#REF!),"")</f>
        <v>#REF!</v>
      </c>
      <c r="M30" s="68" t="e">
        <f>IF(AND('Mapa final'!#REF!="Media",'Mapa final'!#REF!="Leve"),CONCATENATE("R5C",'Mapa final'!#REF!),"")</f>
        <v>#REF!</v>
      </c>
      <c r="N30" s="68" t="e">
        <f>IF(AND('Mapa final'!#REF!="Media",'Mapa final'!#REF!="Leve"),CONCATENATE("R5C",'Mapa final'!#REF!),"")</f>
        <v>#REF!</v>
      </c>
      <c r="O30" s="69" t="e">
        <f>IF(AND('Mapa final'!#REF!="Media",'Mapa final'!#REF!="Leve"),CONCATENATE("R5C",'Mapa final'!#REF!),"")</f>
        <v>#REF!</v>
      </c>
      <c r="P30" s="67" t="str">
        <f>IF(AND('Mapa final'!$Y$13="Media",'Mapa final'!$AA$13="Menor"),CONCATENATE("R5C",'Mapa final'!$O$13),"")</f>
        <v/>
      </c>
      <c r="Q30" s="68" t="e">
        <f>IF(AND('Mapa final'!#REF!="Media",'Mapa final'!#REF!="Menor"),CONCATENATE("R5C",'Mapa final'!#REF!),"")</f>
        <v>#REF!</v>
      </c>
      <c r="R30" s="68" t="e">
        <f>IF(AND('Mapa final'!#REF!="Media",'Mapa final'!#REF!="Menor"),CONCATENATE("R5C",'Mapa final'!#REF!),"")</f>
        <v>#REF!</v>
      </c>
      <c r="S30" s="68" t="e">
        <f>IF(AND('Mapa final'!#REF!="Media",'Mapa final'!#REF!="Menor"),CONCATENATE("R5C",'Mapa final'!#REF!),"")</f>
        <v>#REF!</v>
      </c>
      <c r="T30" s="68" t="e">
        <f>IF(AND('Mapa final'!#REF!="Media",'Mapa final'!#REF!="Menor"),CONCATENATE("R5C",'Mapa final'!#REF!),"")</f>
        <v>#REF!</v>
      </c>
      <c r="U30" s="69" t="e">
        <f>IF(AND('Mapa final'!#REF!="Media",'Mapa final'!#REF!="Menor"),CONCATENATE("R5C",'Mapa final'!#REF!),"")</f>
        <v>#REF!</v>
      </c>
      <c r="V30" s="67" t="str">
        <f>IF(AND('Mapa final'!$Y$13="Media",'Mapa final'!$AA$13="Moderado"),CONCATENATE("R5C",'Mapa final'!$O$13),"")</f>
        <v/>
      </c>
      <c r="W30" s="68" t="e">
        <f>IF(AND('Mapa final'!#REF!="Media",'Mapa final'!#REF!="Moderado"),CONCATENATE("R5C",'Mapa final'!#REF!),"")</f>
        <v>#REF!</v>
      </c>
      <c r="X30" s="68" t="e">
        <f>IF(AND('Mapa final'!#REF!="Media",'Mapa final'!#REF!="Moderado"),CONCATENATE("R5C",'Mapa final'!#REF!),"")</f>
        <v>#REF!</v>
      </c>
      <c r="Y30" s="68" t="e">
        <f>IF(AND('Mapa final'!#REF!="Media",'Mapa final'!#REF!="Moderado"),CONCATENATE("R5C",'Mapa final'!#REF!),"")</f>
        <v>#REF!</v>
      </c>
      <c r="Z30" s="68" t="e">
        <f>IF(AND('Mapa final'!#REF!="Media",'Mapa final'!#REF!="Moderado"),CONCATENATE("R5C",'Mapa final'!#REF!),"")</f>
        <v>#REF!</v>
      </c>
      <c r="AA30" s="69" t="e">
        <f>IF(AND('Mapa final'!#REF!="Media",'Mapa final'!#REF!="Moderado"),CONCATENATE("R5C",'Mapa final'!#REF!),"")</f>
        <v>#REF!</v>
      </c>
      <c r="AB30" s="52" t="str">
        <f>IF(AND('Mapa final'!$Y$13="Media",'Mapa final'!$AA$13="Mayor"),CONCATENATE("R5C",'Mapa final'!$O$13),"")</f>
        <v/>
      </c>
      <c r="AC30" s="53" t="e">
        <f>IF(AND('Mapa final'!#REF!="Media",'Mapa final'!#REF!="Mayor"),CONCATENATE("R5C",'Mapa final'!#REF!),"")</f>
        <v>#REF!</v>
      </c>
      <c r="AD30" s="53" t="e">
        <f>IF(AND('Mapa final'!#REF!="Media",'Mapa final'!#REF!="Mayor"),CONCATENATE("R5C",'Mapa final'!#REF!),"")</f>
        <v>#REF!</v>
      </c>
      <c r="AE30" s="53" t="e">
        <f>IF(AND('Mapa final'!#REF!="Media",'Mapa final'!#REF!="Mayor"),CONCATENATE("R5C",'Mapa final'!#REF!),"")</f>
        <v>#REF!</v>
      </c>
      <c r="AF30" s="53" t="e">
        <f>IF(AND('Mapa final'!#REF!="Media",'Mapa final'!#REF!="Mayor"),CONCATENATE("R5C",'Mapa final'!#REF!),"")</f>
        <v>#REF!</v>
      </c>
      <c r="AG30" s="54" t="e">
        <f>IF(AND('Mapa final'!#REF!="Media",'Mapa final'!#REF!="Mayor"),CONCATENATE("R5C",'Mapa final'!#REF!),"")</f>
        <v>#REF!</v>
      </c>
      <c r="AH30" s="55" t="str">
        <f>IF(AND('Mapa final'!$Y$13="Media",'Mapa final'!$AA$13="Catastrófico"),CONCATENATE("R5C",'Mapa final'!$O$13),"")</f>
        <v/>
      </c>
      <c r="AI30" s="56" t="e">
        <f>IF(AND('Mapa final'!#REF!="Media",'Mapa final'!#REF!="Catastrófico"),CONCATENATE("R5C",'Mapa final'!#REF!),"")</f>
        <v>#REF!</v>
      </c>
      <c r="AJ30" s="56" t="e">
        <f>IF(AND('Mapa final'!#REF!="Media",'Mapa final'!#REF!="Catastrófico"),CONCATENATE("R5C",'Mapa final'!#REF!),"")</f>
        <v>#REF!</v>
      </c>
      <c r="AK30" s="56" t="e">
        <f>IF(AND('Mapa final'!#REF!="Media",'Mapa final'!#REF!="Catastrófico"),CONCATENATE("R5C",'Mapa final'!#REF!),"")</f>
        <v>#REF!</v>
      </c>
      <c r="AL30" s="56" t="e">
        <f>IF(AND('Mapa final'!#REF!="Media",'Mapa final'!#REF!="Catastrófico"),CONCATENATE("R5C",'Mapa final'!#REF!),"")</f>
        <v>#REF!</v>
      </c>
      <c r="AM30" s="57" t="e">
        <f>IF(AND('Mapa final'!#REF!="Media",'Mapa final'!#REF!="Catastrófico"),CONCATENATE("R5C",'Mapa final'!#REF!),"")</f>
        <v>#REF!</v>
      </c>
      <c r="AN30" s="83"/>
      <c r="AO30" s="373"/>
      <c r="AP30" s="374"/>
      <c r="AQ30" s="374"/>
      <c r="AR30" s="374"/>
      <c r="AS30" s="374"/>
      <c r="AT30" s="37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92"/>
      <c r="C31" s="292"/>
      <c r="D31" s="293"/>
      <c r="E31" s="333"/>
      <c r="F31" s="334"/>
      <c r="G31" s="334"/>
      <c r="H31" s="334"/>
      <c r="I31" s="335"/>
      <c r="J31" s="67" t="str">
        <f>IF(AND('Mapa final'!$Y$14="Media",'Mapa final'!$AA$14="Leve"),CONCATENATE("R6C",'Mapa final'!$O$14),"")</f>
        <v/>
      </c>
      <c r="K31" s="68" t="e">
        <f>IF(AND('Mapa final'!#REF!="Media",'Mapa final'!#REF!="Leve"),CONCATENATE("R6C",'Mapa final'!#REF!),"")</f>
        <v>#REF!</v>
      </c>
      <c r="L31" s="68" t="e">
        <f>IF(AND('Mapa final'!#REF!="Media",'Mapa final'!#REF!="Leve"),CONCATENATE("R6C",'Mapa final'!#REF!),"")</f>
        <v>#REF!</v>
      </c>
      <c r="M31" s="68" t="e">
        <f>IF(AND('Mapa final'!#REF!="Media",'Mapa final'!#REF!="Leve"),CONCATENATE("R6C",'Mapa final'!#REF!),"")</f>
        <v>#REF!</v>
      </c>
      <c r="N31" s="68" t="e">
        <f>IF(AND('Mapa final'!#REF!="Media",'Mapa final'!#REF!="Leve"),CONCATENATE("R6C",'Mapa final'!#REF!),"")</f>
        <v>#REF!</v>
      </c>
      <c r="O31" s="69" t="e">
        <f>IF(AND('Mapa final'!#REF!="Media",'Mapa final'!#REF!="Leve"),CONCATENATE("R6C",'Mapa final'!#REF!),"")</f>
        <v>#REF!</v>
      </c>
      <c r="P31" s="67" t="str">
        <f>IF(AND('Mapa final'!$Y$14="Media",'Mapa final'!$AA$14="Menor"),CONCATENATE("R6C",'Mapa final'!$O$14),"")</f>
        <v/>
      </c>
      <c r="Q31" s="68" t="e">
        <f>IF(AND('Mapa final'!#REF!="Media",'Mapa final'!#REF!="Menor"),CONCATENATE("R6C",'Mapa final'!#REF!),"")</f>
        <v>#REF!</v>
      </c>
      <c r="R31" s="68" t="e">
        <f>IF(AND('Mapa final'!#REF!="Media",'Mapa final'!#REF!="Menor"),CONCATENATE("R6C",'Mapa final'!#REF!),"")</f>
        <v>#REF!</v>
      </c>
      <c r="S31" s="68" t="e">
        <f>IF(AND('Mapa final'!#REF!="Media",'Mapa final'!#REF!="Menor"),CONCATENATE("R6C",'Mapa final'!#REF!),"")</f>
        <v>#REF!</v>
      </c>
      <c r="T31" s="68" t="e">
        <f>IF(AND('Mapa final'!#REF!="Media",'Mapa final'!#REF!="Menor"),CONCATENATE("R6C",'Mapa final'!#REF!),"")</f>
        <v>#REF!</v>
      </c>
      <c r="U31" s="69" t="e">
        <f>IF(AND('Mapa final'!#REF!="Media",'Mapa final'!#REF!="Menor"),CONCATENATE("R6C",'Mapa final'!#REF!),"")</f>
        <v>#REF!</v>
      </c>
      <c r="V31" s="67" t="str">
        <f>IF(AND('Mapa final'!$Y$14="Media",'Mapa final'!$AA$14="Moderado"),CONCATENATE("R6C",'Mapa final'!$O$14),"")</f>
        <v/>
      </c>
      <c r="W31" s="68" t="e">
        <f>IF(AND('Mapa final'!#REF!="Media",'Mapa final'!#REF!="Moderado"),CONCATENATE("R6C",'Mapa final'!#REF!),"")</f>
        <v>#REF!</v>
      </c>
      <c r="X31" s="68" t="e">
        <f>IF(AND('Mapa final'!#REF!="Media",'Mapa final'!#REF!="Moderado"),CONCATENATE("R6C",'Mapa final'!#REF!),"")</f>
        <v>#REF!</v>
      </c>
      <c r="Y31" s="68" t="e">
        <f>IF(AND('Mapa final'!#REF!="Media",'Mapa final'!#REF!="Moderado"),CONCATENATE("R6C",'Mapa final'!#REF!),"")</f>
        <v>#REF!</v>
      </c>
      <c r="Z31" s="68" t="e">
        <f>IF(AND('Mapa final'!#REF!="Media",'Mapa final'!#REF!="Moderado"),CONCATENATE("R6C",'Mapa final'!#REF!),"")</f>
        <v>#REF!</v>
      </c>
      <c r="AA31" s="69" t="e">
        <f>IF(AND('Mapa final'!#REF!="Media",'Mapa final'!#REF!="Moderado"),CONCATENATE("R6C",'Mapa final'!#REF!),"")</f>
        <v>#REF!</v>
      </c>
      <c r="AB31" s="52" t="str">
        <f>IF(AND('Mapa final'!$Y$14="Media",'Mapa final'!$AA$14="Mayor"),CONCATENATE("R6C",'Mapa final'!$O$14),"")</f>
        <v/>
      </c>
      <c r="AC31" s="53" t="e">
        <f>IF(AND('Mapa final'!#REF!="Media",'Mapa final'!#REF!="Mayor"),CONCATENATE("R6C",'Mapa final'!#REF!),"")</f>
        <v>#REF!</v>
      </c>
      <c r="AD31" s="53" t="e">
        <f>IF(AND('Mapa final'!#REF!="Media",'Mapa final'!#REF!="Mayor"),CONCATENATE("R6C",'Mapa final'!#REF!),"")</f>
        <v>#REF!</v>
      </c>
      <c r="AE31" s="53" t="e">
        <f>IF(AND('Mapa final'!#REF!="Media",'Mapa final'!#REF!="Mayor"),CONCATENATE("R6C",'Mapa final'!#REF!),"")</f>
        <v>#REF!</v>
      </c>
      <c r="AF31" s="53" t="e">
        <f>IF(AND('Mapa final'!#REF!="Media",'Mapa final'!#REF!="Mayor"),CONCATENATE("R6C",'Mapa final'!#REF!),"")</f>
        <v>#REF!</v>
      </c>
      <c r="AG31" s="54" t="e">
        <f>IF(AND('Mapa final'!#REF!="Media",'Mapa final'!#REF!="Mayor"),CONCATENATE("R6C",'Mapa final'!#REF!),"")</f>
        <v>#REF!</v>
      </c>
      <c r="AH31" s="55" t="str">
        <f>IF(AND('Mapa final'!$Y$14="Media",'Mapa final'!$AA$14="Catastrófico"),CONCATENATE("R6C",'Mapa final'!$O$14),"")</f>
        <v/>
      </c>
      <c r="AI31" s="56" t="e">
        <f>IF(AND('Mapa final'!#REF!="Media",'Mapa final'!#REF!="Catastrófico"),CONCATENATE("R6C",'Mapa final'!#REF!),"")</f>
        <v>#REF!</v>
      </c>
      <c r="AJ31" s="56" t="e">
        <f>IF(AND('Mapa final'!#REF!="Media",'Mapa final'!#REF!="Catastrófico"),CONCATENATE("R6C",'Mapa final'!#REF!),"")</f>
        <v>#REF!</v>
      </c>
      <c r="AK31" s="56" t="e">
        <f>IF(AND('Mapa final'!#REF!="Media",'Mapa final'!#REF!="Catastrófico"),CONCATENATE("R6C",'Mapa final'!#REF!),"")</f>
        <v>#REF!</v>
      </c>
      <c r="AL31" s="56" t="e">
        <f>IF(AND('Mapa final'!#REF!="Media",'Mapa final'!#REF!="Catastrófico"),CONCATENATE("R6C",'Mapa final'!#REF!),"")</f>
        <v>#REF!</v>
      </c>
      <c r="AM31" s="57" t="e">
        <f>IF(AND('Mapa final'!#REF!="Media",'Mapa final'!#REF!="Catastrófico"),CONCATENATE("R6C",'Mapa final'!#REF!),"")</f>
        <v>#REF!</v>
      </c>
      <c r="AN31" s="83"/>
      <c r="AO31" s="373"/>
      <c r="AP31" s="374"/>
      <c r="AQ31" s="374"/>
      <c r="AR31" s="374"/>
      <c r="AS31" s="374"/>
      <c r="AT31" s="375"/>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92"/>
      <c r="C32" s="292"/>
      <c r="D32" s="293"/>
      <c r="E32" s="333"/>
      <c r="F32" s="334"/>
      <c r="G32" s="334"/>
      <c r="H32" s="334"/>
      <c r="I32" s="335"/>
      <c r="J32" s="67" t="str">
        <f>IF(AND('Mapa final'!$Y$15="Media",'Mapa final'!$AA$15="Leve"),CONCATENATE("R7C",'Mapa final'!$O$15),"")</f>
        <v/>
      </c>
      <c r="K32" s="68" t="e">
        <f>IF(AND('Mapa final'!#REF!="Media",'Mapa final'!#REF!="Leve"),CONCATENATE("R7C",'Mapa final'!#REF!),"")</f>
        <v>#REF!</v>
      </c>
      <c r="L32" s="68" t="e">
        <f>IF(AND('Mapa final'!#REF!="Media",'Mapa final'!#REF!="Leve"),CONCATENATE("R7C",'Mapa final'!#REF!),"")</f>
        <v>#REF!</v>
      </c>
      <c r="M32" s="68" t="e">
        <f>IF(AND('Mapa final'!#REF!="Media",'Mapa final'!#REF!="Leve"),CONCATENATE("R7C",'Mapa final'!#REF!),"")</f>
        <v>#REF!</v>
      </c>
      <c r="N32" s="68" t="e">
        <f>IF(AND('Mapa final'!#REF!="Media",'Mapa final'!#REF!="Leve"),CONCATENATE("R7C",'Mapa final'!#REF!),"")</f>
        <v>#REF!</v>
      </c>
      <c r="O32" s="69" t="e">
        <f>IF(AND('Mapa final'!#REF!="Media",'Mapa final'!#REF!="Leve"),CONCATENATE("R7C",'Mapa final'!#REF!),"")</f>
        <v>#REF!</v>
      </c>
      <c r="P32" s="67" t="str">
        <f>IF(AND('Mapa final'!$Y$15="Media",'Mapa final'!$AA$15="Menor"),CONCATENATE("R7C",'Mapa final'!$O$15),"")</f>
        <v/>
      </c>
      <c r="Q32" s="68" t="e">
        <f>IF(AND('Mapa final'!#REF!="Media",'Mapa final'!#REF!="Menor"),CONCATENATE("R7C",'Mapa final'!#REF!),"")</f>
        <v>#REF!</v>
      </c>
      <c r="R32" s="68" t="e">
        <f>IF(AND('Mapa final'!#REF!="Media",'Mapa final'!#REF!="Menor"),CONCATENATE("R7C",'Mapa final'!#REF!),"")</f>
        <v>#REF!</v>
      </c>
      <c r="S32" s="68" t="e">
        <f>IF(AND('Mapa final'!#REF!="Media",'Mapa final'!#REF!="Menor"),CONCATENATE("R7C",'Mapa final'!#REF!),"")</f>
        <v>#REF!</v>
      </c>
      <c r="T32" s="68" t="e">
        <f>IF(AND('Mapa final'!#REF!="Media",'Mapa final'!#REF!="Menor"),CONCATENATE("R7C",'Mapa final'!#REF!),"")</f>
        <v>#REF!</v>
      </c>
      <c r="U32" s="69" t="e">
        <f>IF(AND('Mapa final'!#REF!="Media",'Mapa final'!#REF!="Menor"),CONCATENATE("R7C",'Mapa final'!#REF!),"")</f>
        <v>#REF!</v>
      </c>
      <c r="V32" s="67" t="str">
        <f>IF(AND('Mapa final'!$Y$15="Media",'Mapa final'!$AA$15="Moderado"),CONCATENATE("R7C",'Mapa final'!$O$15),"")</f>
        <v/>
      </c>
      <c r="W32" s="68" t="e">
        <f>IF(AND('Mapa final'!#REF!="Media",'Mapa final'!#REF!="Moderado"),CONCATENATE("R7C",'Mapa final'!#REF!),"")</f>
        <v>#REF!</v>
      </c>
      <c r="X32" s="68" t="e">
        <f>IF(AND('Mapa final'!#REF!="Media",'Mapa final'!#REF!="Moderado"),CONCATENATE("R7C",'Mapa final'!#REF!),"")</f>
        <v>#REF!</v>
      </c>
      <c r="Y32" s="68" t="e">
        <f>IF(AND('Mapa final'!#REF!="Media",'Mapa final'!#REF!="Moderado"),CONCATENATE("R7C",'Mapa final'!#REF!),"")</f>
        <v>#REF!</v>
      </c>
      <c r="Z32" s="68" t="e">
        <f>IF(AND('Mapa final'!#REF!="Media",'Mapa final'!#REF!="Moderado"),CONCATENATE("R7C",'Mapa final'!#REF!),"")</f>
        <v>#REF!</v>
      </c>
      <c r="AA32" s="69" t="e">
        <f>IF(AND('Mapa final'!#REF!="Media",'Mapa final'!#REF!="Moderado"),CONCATENATE("R7C",'Mapa final'!#REF!),"")</f>
        <v>#REF!</v>
      </c>
      <c r="AB32" s="52" t="str">
        <f>IF(AND('Mapa final'!$Y$15="Media",'Mapa final'!$AA$15="Mayor"),CONCATENATE("R7C",'Mapa final'!$O$15),"")</f>
        <v/>
      </c>
      <c r="AC32" s="53" t="e">
        <f>IF(AND('Mapa final'!#REF!="Media",'Mapa final'!#REF!="Mayor"),CONCATENATE("R7C",'Mapa final'!#REF!),"")</f>
        <v>#REF!</v>
      </c>
      <c r="AD32" s="53" t="e">
        <f>IF(AND('Mapa final'!#REF!="Media",'Mapa final'!#REF!="Mayor"),CONCATENATE("R7C",'Mapa final'!#REF!),"")</f>
        <v>#REF!</v>
      </c>
      <c r="AE32" s="53" t="e">
        <f>IF(AND('Mapa final'!#REF!="Media",'Mapa final'!#REF!="Mayor"),CONCATENATE("R7C",'Mapa final'!#REF!),"")</f>
        <v>#REF!</v>
      </c>
      <c r="AF32" s="53" t="e">
        <f>IF(AND('Mapa final'!#REF!="Media",'Mapa final'!#REF!="Mayor"),CONCATENATE("R7C",'Mapa final'!#REF!),"")</f>
        <v>#REF!</v>
      </c>
      <c r="AG32" s="54" t="e">
        <f>IF(AND('Mapa final'!#REF!="Media",'Mapa final'!#REF!="Mayor"),CONCATENATE("R7C",'Mapa final'!#REF!),"")</f>
        <v>#REF!</v>
      </c>
      <c r="AH32" s="55" t="str">
        <f>IF(AND('Mapa final'!$Y$15="Media",'Mapa final'!$AA$15="Catastrófico"),CONCATENATE("R7C",'Mapa final'!$O$15),"")</f>
        <v/>
      </c>
      <c r="AI32" s="56" t="e">
        <f>IF(AND('Mapa final'!#REF!="Media",'Mapa final'!#REF!="Catastrófico"),CONCATENATE("R7C",'Mapa final'!#REF!),"")</f>
        <v>#REF!</v>
      </c>
      <c r="AJ32" s="56" t="e">
        <f>IF(AND('Mapa final'!#REF!="Media",'Mapa final'!#REF!="Catastrófico"),CONCATENATE("R7C",'Mapa final'!#REF!),"")</f>
        <v>#REF!</v>
      </c>
      <c r="AK32" s="56" t="e">
        <f>IF(AND('Mapa final'!#REF!="Media",'Mapa final'!#REF!="Catastrófico"),CONCATENATE("R7C",'Mapa final'!#REF!),"")</f>
        <v>#REF!</v>
      </c>
      <c r="AL32" s="56" t="e">
        <f>IF(AND('Mapa final'!#REF!="Media",'Mapa final'!#REF!="Catastrófico"),CONCATENATE("R7C",'Mapa final'!#REF!),"")</f>
        <v>#REF!</v>
      </c>
      <c r="AM32" s="57" t="e">
        <f>IF(AND('Mapa final'!#REF!="Media",'Mapa final'!#REF!="Catastrófico"),CONCATENATE("R7C",'Mapa final'!#REF!),"")</f>
        <v>#REF!</v>
      </c>
      <c r="AN32" s="83"/>
      <c r="AO32" s="373"/>
      <c r="AP32" s="374"/>
      <c r="AQ32" s="374"/>
      <c r="AR32" s="374"/>
      <c r="AS32" s="374"/>
      <c r="AT32" s="375"/>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92"/>
      <c r="C33" s="292"/>
      <c r="D33" s="293"/>
      <c r="E33" s="333"/>
      <c r="F33" s="334"/>
      <c r="G33" s="334"/>
      <c r="H33" s="334"/>
      <c r="I33" s="335"/>
      <c r="J33" s="67" t="str">
        <f>IF(AND('Mapa final'!$Y$16="Media",'Mapa final'!$AA$16="Leve"),CONCATENATE("R8C",'Mapa final'!$O$16),"")</f>
        <v/>
      </c>
      <c r="K33" s="68" t="str">
        <f>IF(AND('Mapa final'!$Y$17="Media",'Mapa final'!$AA$17="Leve"),CONCATENATE("R8C",'Mapa final'!$O$17),"")</f>
        <v/>
      </c>
      <c r="L33" s="68" t="str">
        <f>IF(AND('Mapa final'!$Y$18="Media",'Mapa final'!$AA$18="Leve"),CONCATENATE("R8C",'Mapa final'!$O$18),"")</f>
        <v/>
      </c>
      <c r="M33" s="68" t="str">
        <f>IF(AND('Mapa final'!$Y$19="Media",'Mapa final'!$AA$19="Leve"),CONCATENATE("R8C",'Mapa final'!$O$19),"")</f>
        <v/>
      </c>
      <c r="N33" s="68" t="str">
        <f>IF(AND('Mapa final'!$Y$20="Media",'Mapa final'!$AA$20="Leve"),CONCATENATE("R8C",'Mapa final'!$O$20),"")</f>
        <v/>
      </c>
      <c r="O33" s="69" t="str">
        <f>IF(AND('Mapa final'!$Y$21="Media",'Mapa final'!$AA$21="Leve"),CONCATENATE("R8C",'Mapa final'!$O$21),"")</f>
        <v/>
      </c>
      <c r="P33" s="67" t="str">
        <f>IF(AND('Mapa final'!$Y$16="Media",'Mapa final'!$AA$16="Menor"),CONCATENATE("R8C",'Mapa final'!$O$16),"")</f>
        <v/>
      </c>
      <c r="Q33" s="68" t="str">
        <f>IF(AND('Mapa final'!$Y$17="Media",'Mapa final'!$AA$17="Menor"),CONCATENATE("R8C",'Mapa final'!$O$17),"")</f>
        <v/>
      </c>
      <c r="R33" s="68" t="str">
        <f>IF(AND('Mapa final'!$Y$18="Media",'Mapa final'!$AA$18="Menor"),CONCATENATE("R8C",'Mapa final'!$O$18),"")</f>
        <v/>
      </c>
      <c r="S33" s="68" t="str">
        <f>IF(AND('Mapa final'!$Y$19="Media",'Mapa final'!$AA$19="Menor"),CONCATENATE("R8C",'Mapa final'!$O$19),"")</f>
        <v/>
      </c>
      <c r="T33" s="68" t="str">
        <f>IF(AND('Mapa final'!$Y$20="Media",'Mapa final'!$AA$20="Menor"),CONCATENATE("R8C",'Mapa final'!$O$20),"")</f>
        <v/>
      </c>
      <c r="U33" s="69" t="str">
        <f>IF(AND('Mapa final'!$Y$21="Media",'Mapa final'!$AA$21="Menor"),CONCATENATE("R8C",'Mapa final'!$O$21),"")</f>
        <v/>
      </c>
      <c r="V33" s="67" t="str">
        <f>IF(AND('Mapa final'!$Y$16="Media",'Mapa final'!$AA$16="Moderado"),CONCATENATE("R8C",'Mapa final'!$O$16),"")</f>
        <v/>
      </c>
      <c r="W33" s="68" t="str">
        <f>IF(AND('Mapa final'!$Y$17="Media",'Mapa final'!$AA$17="Moderado"),CONCATENATE("R8C",'Mapa final'!$O$17),"")</f>
        <v/>
      </c>
      <c r="X33" s="68" t="str">
        <f>IF(AND('Mapa final'!$Y$18="Media",'Mapa final'!$AA$18="Moderado"),CONCATENATE("R8C",'Mapa final'!$O$18),"")</f>
        <v/>
      </c>
      <c r="Y33" s="68" t="str">
        <f>IF(AND('Mapa final'!$Y$19="Media",'Mapa final'!$AA$19="Moderado"),CONCATENATE("R8C",'Mapa final'!$O$19),"")</f>
        <v/>
      </c>
      <c r="Z33" s="68" t="str">
        <f>IF(AND('Mapa final'!$Y$20="Media",'Mapa final'!$AA$20="Moderado"),CONCATENATE("R8C",'Mapa final'!$O$20),"")</f>
        <v/>
      </c>
      <c r="AA33" s="69" t="str">
        <f>IF(AND('Mapa final'!$Y$21="Media",'Mapa final'!$AA$21="Moderado"),CONCATENATE("R8C",'Mapa final'!$O$21),"")</f>
        <v/>
      </c>
      <c r="AB33" s="52" t="str">
        <f>IF(AND('Mapa final'!$Y$16="Media",'Mapa final'!$AA$16="Mayor"),CONCATENATE("R8C",'Mapa final'!$O$16),"")</f>
        <v/>
      </c>
      <c r="AC33" s="53" t="str">
        <f>IF(AND('Mapa final'!$Y$17="Media",'Mapa final'!$AA$17="Mayor"),CONCATENATE("R8C",'Mapa final'!$O$17),"")</f>
        <v/>
      </c>
      <c r="AD33" s="53" t="str">
        <f>IF(AND('Mapa final'!$Y$18="Media",'Mapa final'!$AA$18="Mayor"),CONCATENATE("R8C",'Mapa final'!$O$18),"")</f>
        <v/>
      </c>
      <c r="AE33" s="53" t="str">
        <f>IF(AND('Mapa final'!$Y$19="Media",'Mapa final'!$AA$19="Mayor"),CONCATENATE("R8C",'Mapa final'!$O$19),"")</f>
        <v/>
      </c>
      <c r="AF33" s="53" t="str">
        <f>IF(AND('Mapa final'!$Y$20="Media",'Mapa final'!$AA$20="Mayor"),CONCATENATE("R8C",'Mapa final'!$O$20),"")</f>
        <v/>
      </c>
      <c r="AG33" s="54" t="str">
        <f>IF(AND('Mapa final'!$Y$21="Media",'Mapa final'!$AA$21="Mayor"),CONCATENATE("R8C",'Mapa final'!$O$21),"")</f>
        <v/>
      </c>
      <c r="AH33" s="55" t="str">
        <f>IF(AND('Mapa final'!$Y$16="Media",'Mapa final'!$AA$16="Catastrófico"),CONCATENATE("R8C",'Mapa final'!$O$16),"")</f>
        <v/>
      </c>
      <c r="AI33" s="56" t="str">
        <f>IF(AND('Mapa final'!$Y$17="Media",'Mapa final'!$AA$17="Catastrófico"),CONCATENATE("R8C",'Mapa final'!$O$17),"")</f>
        <v/>
      </c>
      <c r="AJ33" s="56" t="str">
        <f>IF(AND('Mapa final'!$Y$18="Media",'Mapa final'!$AA$18="Catastrófico"),CONCATENATE("R8C",'Mapa final'!$O$18),"")</f>
        <v/>
      </c>
      <c r="AK33" s="56" t="str">
        <f>IF(AND('Mapa final'!$Y$19="Media",'Mapa final'!$AA$19="Catastrófico"),CONCATENATE("R8C",'Mapa final'!$O$19),"")</f>
        <v/>
      </c>
      <c r="AL33" s="56" t="str">
        <f>IF(AND('Mapa final'!$Y$20="Media",'Mapa final'!$AA$20="Catastrófico"),CONCATENATE("R8C",'Mapa final'!$O$20),"")</f>
        <v/>
      </c>
      <c r="AM33" s="57" t="str">
        <f>IF(AND('Mapa final'!$Y$21="Media",'Mapa final'!$AA$21="Catastrófico"),CONCATENATE("R8C",'Mapa final'!$O$21),"")</f>
        <v/>
      </c>
      <c r="AN33" s="83"/>
      <c r="AO33" s="373"/>
      <c r="AP33" s="374"/>
      <c r="AQ33" s="374"/>
      <c r="AR33" s="374"/>
      <c r="AS33" s="374"/>
      <c r="AT33" s="375"/>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92"/>
      <c r="C34" s="292"/>
      <c r="D34" s="293"/>
      <c r="E34" s="333"/>
      <c r="F34" s="334"/>
      <c r="G34" s="334"/>
      <c r="H34" s="334"/>
      <c r="I34" s="335"/>
      <c r="J34" s="67" t="str">
        <f>IF(AND('Mapa final'!$Y$22="Media",'Mapa final'!$AA$22="Leve"),CONCATENATE("R9C",'Mapa final'!$O$22),"")</f>
        <v/>
      </c>
      <c r="K34" s="68" t="str">
        <f>IF(AND('Mapa final'!$Y$23="Media",'Mapa final'!$AA$23="Leve"),CONCATENATE("R9C",'Mapa final'!$O$23),"")</f>
        <v/>
      </c>
      <c r="L34" s="68" t="str">
        <f>IF(AND('Mapa final'!$Y$24="Media",'Mapa final'!$AA$24="Leve"),CONCATENATE("R9C",'Mapa final'!$O$24),"")</f>
        <v/>
      </c>
      <c r="M34" s="68" t="str">
        <f>IF(AND('Mapa final'!$Y$25="Media",'Mapa final'!$AA$25="Leve"),CONCATENATE("R9C",'Mapa final'!$O$25),"")</f>
        <v/>
      </c>
      <c r="N34" s="68" t="str">
        <f>IF(AND('Mapa final'!$Y$26="Media",'Mapa final'!$AA$26="Leve"),CONCATENATE("R9C",'Mapa final'!$O$26),"")</f>
        <v/>
      </c>
      <c r="O34" s="69" t="str">
        <f>IF(AND('Mapa final'!$Y$27="Media",'Mapa final'!$AA$27="Leve"),CONCATENATE("R9C",'Mapa final'!$O$27),"")</f>
        <v/>
      </c>
      <c r="P34" s="67" t="str">
        <f>IF(AND('Mapa final'!$Y$22="Media",'Mapa final'!$AA$22="Menor"),CONCATENATE("R9C",'Mapa final'!$O$22),"")</f>
        <v/>
      </c>
      <c r="Q34" s="68" t="str">
        <f>IF(AND('Mapa final'!$Y$23="Media",'Mapa final'!$AA$23="Menor"),CONCATENATE("R9C",'Mapa final'!$O$23),"")</f>
        <v/>
      </c>
      <c r="R34" s="68" t="str">
        <f>IF(AND('Mapa final'!$Y$24="Media",'Mapa final'!$AA$24="Menor"),CONCATENATE("R9C",'Mapa final'!$O$24),"")</f>
        <v/>
      </c>
      <c r="S34" s="68" t="str">
        <f>IF(AND('Mapa final'!$Y$25="Media",'Mapa final'!$AA$25="Menor"),CONCATENATE("R9C",'Mapa final'!$O$25),"")</f>
        <v/>
      </c>
      <c r="T34" s="68" t="str">
        <f>IF(AND('Mapa final'!$Y$26="Media",'Mapa final'!$AA$26="Menor"),CONCATENATE("R9C",'Mapa final'!$O$26),"")</f>
        <v/>
      </c>
      <c r="U34" s="69" t="str">
        <f>IF(AND('Mapa final'!$Y$27="Media",'Mapa final'!$AA$27="Menor"),CONCATENATE("R9C",'Mapa final'!$O$27),"")</f>
        <v/>
      </c>
      <c r="V34" s="67" t="str">
        <f>IF(AND('Mapa final'!$Y$22="Media",'Mapa final'!$AA$22="Moderado"),CONCATENATE("R9C",'Mapa final'!$O$22),"")</f>
        <v/>
      </c>
      <c r="W34" s="68" t="str">
        <f>IF(AND('Mapa final'!$Y$23="Media",'Mapa final'!$AA$23="Moderado"),CONCATENATE("R9C",'Mapa final'!$O$23),"")</f>
        <v/>
      </c>
      <c r="X34" s="68" t="str">
        <f>IF(AND('Mapa final'!$Y$24="Media",'Mapa final'!$AA$24="Moderado"),CONCATENATE("R9C",'Mapa final'!$O$24),"")</f>
        <v/>
      </c>
      <c r="Y34" s="68" t="str">
        <f>IF(AND('Mapa final'!$Y$25="Media",'Mapa final'!$AA$25="Moderado"),CONCATENATE("R9C",'Mapa final'!$O$25),"")</f>
        <v/>
      </c>
      <c r="Z34" s="68" t="str">
        <f>IF(AND('Mapa final'!$Y$26="Media",'Mapa final'!$AA$26="Moderado"),CONCATENATE("R9C",'Mapa final'!$O$26),"")</f>
        <v/>
      </c>
      <c r="AA34" s="69" t="str">
        <f>IF(AND('Mapa final'!$Y$27="Media",'Mapa final'!$AA$27="Moderado"),CONCATENATE("R9C",'Mapa final'!$O$27),"")</f>
        <v/>
      </c>
      <c r="AB34" s="52" t="str">
        <f>IF(AND('Mapa final'!$Y$22="Media",'Mapa final'!$AA$22="Mayor"),CONCATENATE("R9C",'Mapa final'!$O$22),"")</f>
        <v/>
      </c>
      <c r="AC34" s="53" t="str">
        <f>IF(AND('Mapa final'!$Y$23="Media",'Mapa final'!$AA$23="Mayor"),CONCATENATE("R9C",'Mapa final'!$O$23),"")</f>
        <v/>
      </c>
      <c r="AD34" s="53" t="str">
        <f>IF(AND('Mapa final'!$Y$24="Media",'Mapa final'!$AA$24="Mayor"),CONCATENATE("R9C",'Mapa final'!$O$24),"")</f>
        <v/>
      </c>
      <c r="AE34" s="53" t="str">
        <f>IF(AND('Mapa final'!$Y$25="Media",'Mapa final'!$AA$25="Mayor"),CONCATENATE("R9C",'Mapa final'!$O$25),"")</f>
        <v/>
      </c>
      <c r="AF34" s="53" t="str">
        <f>IF(AND('Mapa final'!$Y$26="Media",'Mapa final'!$AA$26="Mayor"),CONCATENATE("R9C",'Mapa final'!$O$26),"")</f>
        <v/>
      </c>
      <c r="AG34" s="54" t="str">
        <f>IF(AND('Mapa final'!$Y$27="Media",'Mapa final'!$AA$27="Mayor"),CONCATENATE("R9C",'Mapa final'!$O$27),"")</f>
        <v/>
      </c>
      <c r="AH34" s="55" t="str">
        <f>IF(AND('Mapa final'!$Y$22="Media",'Mapa final'!$AA$22="Catastrófico"),CONCATENATE("R9C",'Mapa final'!$O$22),"")</f>
        <v/>
      </c>
      <c r="AI34" s="56" t="str">
        <f>IF(AND('Mapa final'!$Y$23="Media",'Mapa final'!$AA$23="Catastrófico"),CONCATENATE("R9C",'Mapa final'!$O$23),"")</f>
        <v/>
      </c>
      <c r="AJ34" s="56" t="str">
        <f>IF(AND('Mapa final'!$Y$24="Media",'Mapa final'!$AA$24="Catastrófico"),CONCATENATE("R9C",'Mapa final'!$O$24),"")</f>
        <v/>
      </c>
      <c r="AK34" s="56" t="str">
        <f>IF(AND('Mapa final'!$Y$25="Media",'Mapa final'!$AA$25="Catastrófico"),CONCATENATE("R9C",'Mapa final'!$O$25),"")</f>
        <v/>
      </c>
      <c r="AL34" s="56" t="str">
        <f>IF(AND('Mapa final'!$Y$26="Media",'Mapa final'!$AA$26="Catastrófico"),CONCATENATE("R9C",'Mapa final'!$O$26),"")</f>
        <v/>
      </c>
      <c r="AM34" s="57" t="str">
        <f>IF(AND('Mapa final'!$Y$27="Media",'Mapa final'!$AA$27="Catastrófico"),CONCATENATE("R9C",'Mapa final'!$O$27),"")</f>
        <v/>
      </c>
      <c r="AN34" s="83"/>
      <c r="AO34" s="373"/>
      <c r="AP34" s="374"/>
      <c r="AQ34" s="374"/>
      <c r="AR34" s="374"/>
      <c r="AS34" s="374"/>
      <c r="AT34" s="375"/>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92"/>
      <c r="C35" s="292"/>
      <c r="D35" s="293"/>
      <c r="E35" s="336"/>
      <c r="F35" s="337"/>
      <c r="G35" s="337"/>
      <c r="H35" s="337"/>
      <c r="I35" s="338"/>
      <c r="J35" s="67" t="str">
        <f>IF(AND('Mapa final'!$Y$28="Media",'Mapa final'!$AA$28="Leve"),CONCATENATE("R10C",'Mapa final'!$O$28),"")</f>
        <v/>
      </c>
      <c r="K35" s="68" t="str">
        <f>IF(AND('Mapa final'!$Y$29="Media",'Mapa final'!$AA$29="Leve"),CONCATENATE("R10C",'Mapa final'!$O$29),"")</f>
        <v/>
      </c>
      <c r="L35" s="68" t="str">
        <f>IF(AND('Mapa final'!$Y$30="Media",'Mapa final'!$AA$30="Leve"),CONCATENATE("R10C",'Mapa final'!$O$30),"")</f>
        <v/>
      </c>
      <c r="M35" s="68" t="str">
        <f>IF(AND('Mapa final'!$Y$31="Media",'Mapa final'!$AA$31="Leve"),CONCATENATE("R10C",'Mapa final'!$O$31),"")</f>
        <v/>
      </c>
      <c r="N35" s="68" t="str">
        <f>IF(AND('Mapa final'!$Y$32="Media",'Mapa final'!$AA$32="Leve"),CONCATENATE("R10C",'Mapa final'!$O$32),"")</f>
        <v/>
      </c>
      <c r="O35" s="69" t="str">
        <f>IF(AND('Mapa final'!$Y$33="Media",'Mapa final'!$AA$33="Leve"),CONCATENATE("R10C",'Mapa final'!$O$33),"")</f>
        <v/>
      </c>
      <c r="P35" s="67" t="str">
        <f>IF(AND('Mapa final'!$Y$28="Media",'Mapa final'!$AA$28="Menor"),CONCATENATE("R10C",'Mapa final'!$O$28),"")</f>
        <v/>
      </c>
      <c r="Q35" s="68" t="str">
        <f>IF(AND('Mapa final'!$Y$29="Media",'Mapa final'!$AA$29="Menor"),CONCATENATE("R10C",'Mapa final'!$O$29),"")</f>
        <v/>
      </c>
      <c r="R35" s="68" t="str">
        <f>IF(AND('Mapa final'!$Y$30="Media",'Mapa final'!$AA$30="Menor"),CONCATENATE("R10C",'Mapa final'!$O$30),"")</f>
        <v/>
      </c>
      <c r="S35" s="68" t="str">
        <f>IF(AND('Mapa final'!$Y$31="Media",'Mapa final'!$AA$31="Menor"),CONCATENATE("R10C",'Mapa final'!$O$31),"")</f>
        <v/>
      </c>
      <c r="T35" s="68" t="str">
        <f>IF(AND('Mapa final'!$Y$32="Media",'Mapa final'!$AA$32="Menor"),CONCATENATE("R10C",'Mapa final'!$O$32),"")</f>
        <v/>
      </c>
      <c r="U35" s="69" t="str">
        <f>IF(AND('Mapa final'!$Y$33="Media",'Mapa final'!$AA$33="Menor"),CONCATENATE("R10C",'Mapa final'!$O$33),"")</f>
        <v/>
      </c>
      <c r="V35" s="67" t="str">
        <f>IF(AND('Mapa final'!$Y$28="Media",'Mapa final'!$AA$28="Moderado"),CONCATENATE("R10C",'Mapa final'!$O$28),"")</f>
        <v/>
      </c>
      <c r="W35" s="68" t="str">
        <f>IF(AND('Mapa final'!$Y$29="Media",'Mapa final'!$AA$29="Moderado"),CONCATENATE("R10C",'Mapa final'!$O$29),"")</f>
        <v/>
      </c>
      <c r="X35" s="68" t="str">
        <f>IF(AND('Mapa final'!$Y$30="Media",'Mapa final'!$AA$30="Moderado"),CONCATENATE("R10C",'Mapa final'!$O$30),"")</f>
        <v/>
      </c>
      <c r="Y35" s="68" t="str">
        <f>IF(AND('Mapa final'!$Y$31="Media",'Mapa final'!$AA$31="Moderado"),CONCATENATE("R10C",'Mapa final'!$O$31),"")</f>
        <v/>
      </c>
      <c r="Z35" s="68" t="str">
        <f>IF(AND('Mapa final'!$Y$32="Media",'Mapa final'!$AA$32="Moderado"),CONCATENATE("R10C",'Mapa final'!$O$32),"")</f>
        <v/>
      </c>
      <c r="AA35" s="69" t="str">
        <f>IF(AND('Mapa final'!$Y$33="Media",'Mapa final'!$AA$33="Moderado"),CONCATENATE("R10C",'Mapa final'!$O$33),"")</f>
        <v/>
      </c>
      <c r="AB35" s="58" t="str">
        <f>IF(AND('Mapa final'!$Y$28="Media",'Mapa final'!$AA$28="Mayor"),CONCATENATE("R10C",'Mapa final'!$O$28),"")</f>
        <v/>
      </c>
      <c r="AC35" s="59" t="str">
        <f>IF(AND('Mapa final'!$Y$29="Media",'Mapa final'!$AA$29="Mayor"),CONCATENATE("R10C",'Mapa final'!$O$29),"")</f>
        <v/>
      </c>
      <c r="AD35" s="59" t="str">
        <f>IF(AND('Mapa final'!$Y$30="Media",'Mapa final'!$AA$30="Mayor"),CONCATENATE("R10C",'Mapa final'!$O$30),"")</f>
        <v/>
      </c>
      <c r="AE35" s="59" t="str">
        <f>IF(AND('Mapa final'!$Y$31="Media",'Mapa final'!$AA$31="Mayor"),CONCATENATE("R10C",'Mapa final'!$O$31),"")</f>
        <v/>
      </c>
      <c r="AF35" s="59" t="str">
        <f>IF(AND('Mapa final'!$Y$32="Media",'Mapa final'!$AA$32="Mayor"),CONCATENATE("R10C",'Mapa final'!$O$32),"")</f>
        <v/>
      </c>
      <c r="AG35" s="60" t="str">
        <f>IF(AND('Mapa final'!$Y$33="Media",'Mapa final'!$AA$33="Mayor"),CONCATENATE("R10C",'Mapa final'!$O$33),"")</f>
        <v/>
      </c>
      <c r="AH35" s="61" t="str">
        <f>IF(AND('Mapa final'!$Y$28="Media",'Mapa final'!$AA$28="Catastrófico"),CONCATENATE("R10C",'Mapa final'!$O$28),"")</f>
        <v/>
      </c>
      <c r="AI35" s="62" t="str">
        <f>IF(AND('Mapa final'!$Y$29="Media",'Mapa final'!$AA$29="Catastrófico"),CONCATENATE("R10C",'Mapa final'!$O$29),"")</f>
        <v/>
      </c>
      <c r="AJ35" s="62" t="str">
        <f>IF(AND('Mapa final'!$Y$30="Media",'Mapa final'!$AA$30="Catastrófico"),CONCATENATE("R10C",'Mapa final'!$O$30),"")</f>
        <v/>
      </c>
      <c r="AK35" s="62" t="str">
        <f>IF(AND('Mapa final'!$Y$31="Media",'Mapa final'!$AA$31="Catastrófico"),CONCATENATE("R10C",'Mapa final'!$O$31),"")</f>
        <v/>
      </c>
      <c r="AL35" s="62" t="str">
        <f>IF(AND('Mapa final'!$Y$32="Media",'Mapa final'!$AA$32="Catastrófico"),CONCATENATE("R10C",'Mapa final'!$O$32),"")</f>
        <v/>
      </c>
      <c r="AM35" s="63" t="str">
        <f>IF(AND('Mapa final'!$Y$33="Media",'Mapa final'!$AA$33="Catastrófico"),CONCATENATE("R10C",'Mapa final'!$O$33),"")</f>
        <v/>
      </c>
      <c r="AN35" s="83"/>
      <c r="AO35" s="376"/>
      <c r="AP35" s="377"/>
      <c r="AQ35" s="377"/>
      <c r="AR35" s="377"/>
      <c r="AS35" s="377"/>
      <c r="AT35" s="37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92"/>
      <c r="C36" s="292"/>
      <c r="D36" s="293"/>
      <c r="E36" s="330" t="s">
        <v>114</v>
      </c>
      <c r="F36" s="331"/>
      <c r="G36" s="331"/>
      <c r="H36" s="331"/>
      <c r="I36" s="331"/>
      <c r="J36" s="73" t="str">
        <f>IF(AND('Mapa final'!$Y$10="Baja",'Mapa final'!$AA$10="Leve"),CONCATENATE("R1C",'Mapa final'!$O$10),"")</f>
        <v/>
      </c>
      <c r="K36" s="74" t="e">
        <f>IF(AND('Mapa final'!#REF!="Baja",'Mapa final'!#REF!="Leve"),CONCATENATE("R1C",'Mapa final'!#REF!),"")</f>
        <v>#REF!</v>
      </c>
      <c r="L36" s="74" t="e">
        <f>IF(AND('Mapa final'!#REF!="Baja",'Mapa final'!#REF!="Leve"),CONCATENATE("R1C",'Mapa final'!#REF!),"")</f>
        <v>#REF!</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str">
        <f>IF(AND('Mapa final'!$Y$10="Baja",'Mapa final'!$AA$10="Menor"),CONCATENATE("R1C",'Mapa final'!$O$10),"")</f>
        <v/>
      </c>
      <c r="Q36" s="65" t="e">
        <f>IF(AND('Mapa final'!#REF!="Baja",'Mapa final'!#REF!="Menor"),CONCATENATE("R1C",'Mapa final'!#REF!),"")</f>
        <v>#REF!</v>
      </c>
      <c r="R36" s="65" t="e">
        <f>IF(AND('Mapa final'!#REF!="Baja",'Mapa final'!#REF!="Menor"),CONCATENATE("R1C",'Mapa final'!#REF!),"")</f>
        <v>#REF!</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str">
        <f>IF(AND('Mapa final'!$Y$10="Baja",'Mapa final'!$AA$10="Moderado"),CONCATENATE("R1C",'Mapa final'!$O$10),"")</f>
        <v/>
      </c>
      <c r="W36" s="65" t="e">
        <f>IF(AND('Mapa final'!#REF!="Baja",'Mapa final'!#REF!="Moderado"),CONCATENATE("R1C",'Mapa final'!#REF!),"")</f>
        <v>#REF!</v>
      </c>
      <c r="X36" s="65" t="e">
        <f>IF(AND('Mapa final'!#REF!="Baja",'Mapa final'!#REF!="Moderado"),CONCATENATE("R1C",'Mapa final'!#REF!),"")</f>
        <v>#REF!</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str">
        <f>IF(AND('Mapa final'!$Y$10="Baja",'Mapa final'!$AA$10="Mayor"),CONCATENATE("R1C",'Mapa final'!$O$10),"")</f>
        <v/>
      </c>
      <c r="AC36" s="47" t="e">
        <f>IF(AND('Mapa final'!#REF!="Baja",'Mapa final'!#REF!="Mayor"),CONCATENATE("R1C",'Mapa final'!#REF!),"")</f>
        <v>#REF!</v>
      </c>
      <c r="AD36" s="47" t="e">
        <f>IF(AND('Mapa final'!#REF!="Baja",'Mapa final'!#REF!="Mayor"),CONCATENATE("R1C",'Mapa final'!#REF!),"")</f>
        <v>#REF!</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IF(AND('Mapa final'!$Y$10="Baja",'Mapa final'!$AA$10="Catastrófico"),CONCATENATE("R1C",'Mapa final'!$O$10),"")</f>
        <v/>
      </c>
      <c r="AI36" s="50" t="e">
        <f>IF(AND('Mapa final'!#REF!="Baja",'Mapa final'!#REF!="Catastrófico"),CONCATENATE("R1C",'Mapa final'!#REF!),"")</f>
        <v>#REF!</v>
      </c>
      <c r="AJ36" s="50" t="e">
        <f>IF(AND('Mapa final'!#REF!="Baja",'Mapa final'!#REF!="Catastrófico"),CONCATENATE("R1C",'Mapa final'!#REF!),"")</f>
        <v>#REF!</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61" t="s">
        <v>82</v>
      </c>
      <c r="AP36" s="362"/>
      <c r="AQ36" s="362"/>
      <c r="AR36" s="362"/>
      <c r="AS36" s="362"/>
      <c r="AT36" s="36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92"/>
      <c r="C37" s="292"/>
      <c r="D37" s="293"/>
      <c r="E37" s="349"/>
      <c r="F37" s="334"/>
      <c r="G37" s="334"/>
      <c r="H37" s="334"/>
      <c r="I37" s="334"/>
      <c r="J37" s="76" t="e">
        <f>IF(AND('Mapa final'!#REF!="Baja",'Mapa final'!#REF!="Leve"),CONCATENATE("R2C",'Mapa final'!#REF!),"")</f>
        <v>#REF!</v>
      </c>
      <c r="K37" s="77" t="e">
        <f>IF(AND('Mapa final'!#REF!="Baja",'Mapa final'!#REF!="Leve"),CONCATENATE("R2C",'Mapa final'!#REF!),"")</f>
        <v>#REF!</v>
      </c>
      <c r="L37" s="77" t="e">
        <f>IF(AND('Mapa final'!#REF!="Baja",'Mapa final'!#REF!="Leve"),CONCATENATE("R2C",'Mapa final'!#REF!),"")</f>
        <v>#REF!</v>
      </c>
      <c r="M37" s="77" t="e">
        <f>IF(AND('Mapa final'!#REF!="Baja",'Mapa final'!#REF!="Leve"),CONCATENATE("R2C",'Mapa final'!#REF!),"")</f>
        <v>#REF!</v>
      </c>
      <c r="N37" s="77" t="e">
        <f>IF(AND('Mapa final'!#REF!="Baja",'Mapa final'!#REF!="Leve"),CONCATENATE("R2C",'Mapa final'!#REF!),"")</f>
        <v>#REF!</v>
      </c>
      <c r="O37" s="78" t="e">
        <f>IF(AND('Mapa final'!#REF!="Baja",'Mapa final'!#REF!="Leve"),CONCATENATE("R2C",'Mapa final'!#REF!),"")</f>
        <v>#REF!</v>
      </c>
      <c r="P37" s="67" t="e">
        <f>IF(AND('Mapa final'!#REF!="Baja",'Mapa final'!#REF!="Menor"),CONCATENATE("R2C",'Mapa final'!#REF!),"")</f>
        <v>#REF!</v>
      </c>
      <c r="Q37" s="68" t="e">
        <f>IF(AND('Mapa final'!#REF!="Baja",'Mapa final'!#REF!="Menor"),CONCATENATE("R2C",'Mapa final'!#REF!),"")</f>
        <v>#REF!</v>
      </c>
      <c r="R37" s="68" t="e">
        <f>IF(AND('Mapa final'!#REF!="Baja",'Mapa final'!#REF!="Menor"),CONCATENATE("R2C",'Mapa final'!#REF!),"")</f>
        <v>#REF!</v>
      </c>
      <c r="S37" s="68" t="e">
        <f>IF(AND('Mapa final'!#REF!="Baja",'Mapa final'!#REF!="Menor"),CONCATENATE("R2C",'Mapa final'!#REF!),"")</f>
        <v>#REF!</v>
      </c>
      <c r="T37" s="68" t="e">
        <f>IF(AND('Mapa final'!#REF!="Baja",'Mapa final'!#REF!="Menor"),CONCATENATE("R2C",'Mapa final'!#REF!),"")</f>
        <v>#REF!</v>
      </c>
      <c r="U37" s="69" t="e">
        <f>IF(AND('Mapa final'!#REF!="Baja",'Mapa final'!#REF!="Menor"),CONCATENATE("R2C",'Mapa final'!#REF!),"")</f>
        <v>#REF!</v>
      </c>
      <c r="V37" s="67" t="e">
        <f>IF(AND('Mapa final'!#REF!="Baja",'Mapa final'!#REF!="Moderado"),CONCATENATE("R2C",'Mapa final'!#REF!),"")</f>
        <v>#REF!</v>
      </c>
      <c r="W37" s="68" t="e">
        <f>IF(AND('Mapa final'!#REF!="Baja",'Mapa final'!#REF!="Moderado"),CONCATENATE("R2C",'Mapa final'!#REF!),"")</f>
        <v>#REF!</v>
      </c>
      <c r="X37" s="68" t="e">
        <f>IF(AND('Mapa final'!#REF!="Baja",'Mapa final'!#REF!="Moderado"),CONCATENATE("R2C",'Mapa final'!#REF!),"")</f>
        <v>#REF!</v>
      </c>
      <c r="Y37" s="68" t="e">
        <f>IF(AND('Mapa final'!#REF!="Baja",'Mapa final'!#REF!="Moderado"),CONCATENATE("R2C",'Mapa final'!#REF!),"")</f>
        <v>#REF!</v>
      </c>
      <c r="Z37" s="68" t="e">
        <f>IF(AND('Mapa final'!#REF!="Baja",'Mapa final'!#REF!="Moderado"),CONCATENATE("R2C",'Mapa final'!#REF!),"")</f>
        <v>#REF!</v>
      </c>
      <c r="AA37" s="69" t="e">
        <f>IF(AND('Mapa final'!#REF!="Baja",'Mapa final'!#REF!="Moderado"),CONCATENATE("R2C",'Mapa final'!#REF!),"")</f>
        <v>#REF!</v>
      </c>
      <c r="AB37" s="52" t="e">
        <f>IF(AND('Mapa final'!#REF!="Baja",'Mapa final'!#REF!="Mayor"),CONCATENATE("R2C",'Mapa final'!#REF!),"")</f>
        <v>#REF!</v>
      </c>
      <c r="AC37" s="53" t="e">
        <f>IF(AND('Mapa final'!#REF!="Baja",'Mapa final'!#REF!="Mayor"),CONCATENATE("R2C",'Mapa final'!#REF!),"")</f>
        <v>#REF!</v>
      </c>
      <c r="AD37" s="53" t="e">
        <f>IF(AND('Mapa final'!#REF!="Baja",'Mapa final'!#REF!="Mayor"),CONCATENATE("R2C",'Mapa final'!#REF!),"")</f>
        <v>#REF!</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e">
        <f>IF(AND('Mapa final'!#REF!="Baja",'Mapa final'!#REF!="Catastrófico"),CONCATENATE("R2C",'Mapa final'!#REF!),"")</f>
        <v>#REF!</v>
      </c>
      <c r="AI37" s="56" t="e">
        <f>IF(AND('Mapa final'!#REF!="Baja",'Mapa final'!#REF!="Catastrófico"),CONCATENATE("R2C",'Mapa final'!#REF!),"")</f>
        <v>#REF!</v>
      </c>
      <c r="AJ37" s="56" t="e">
        <f>IF(AND('Mapa final'!#REF!="Baja",'Mapa final'!#REF!="Catastrófico"),CONCATENATE("R2C",'Mapa final'!#REF!),"")</f>
        <v>#REF!</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3"/>
      <c r="AO37" s="364"/>
      <c r="AP37" s="365"/>
      <c r="AQ37" s="365"/>
      <c r="AR37" s="365"/>
      <c r="AS37" s="365"/>
      <c r="AT37" s="36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92"/>
      <c r="C38" s="292"/>
      <c r="D38" s="293"/>
      <c r="E38" s="333"/>
      <c r="F38" s="334"/>
      <c r="G38" s="334"/>
      <c r="H38" s="334"/>
      <c r="I38" s="334"/>
      <c r="J38" s="76" t="str">
        <f>IF(AND('Mapa final'!$Y$11="Baja",'Mapa final'!$AA$11="Leve"),CONCATENATE("R3C",'Mapa final'!$O$11),"")</f>
        <v/>
      </c>
      <c r="K38" s="77" t="e">
        <f>IF(AND('Mapa final'!#REF!="Baja",'Mapa final'!#REF!="Leve"),CONCATENATE("R3C",'Mapa final'!#REF!),"")</f>
        <v>#REF!</v>
      </c>
      <c r="L38" s="77" t="e">
        <f>IF(AND('Mapa final'!#REF!="Baja",'Mapa final'!#REF!="Leve"),CONCATENATE("R3C",'Mapa final'!#REF!),"")</f>
        <v>#REF!</v>
      </c>
      <c r="M38" s="77" t="e">
        <f>IF(AND('Mapa final'!#REF!="Baja",'Mapa final'!#REF!="Leve"),CONCATENATE("R3C",'Mapa final'!#REF!),"")</f>
        <v>#REF!</v>
      </c>
      <c r="N38" s="77" t="e">
        <f>IF(AND('Mapa final'!#REF!="Baja",'Mapa final'!#REF!="Leve"),CONCATENATE("R3C",'Mapa final'!#REF!),"")</f>
        <v>#REF!</v>
      </c>
      <c r="O38" s="78" t="e">
        <f>IF(AND('Mapa final'!#REF!="Baja",'Mapa final'!#REF!="Leve"),CONCATENATE("R3C",'Mapa final'!#REF!),"")</f>
        <v>#REF!</v>
      </c>
      <c r="P38" s="67" t="str">
        <f>IF(AND('Mapa final'!$Y$11="Baja",'Mapa final'!$AA$11="Menor"),CONCATENATE("R3C",'Mapa final'!$O$11),"")</f>
        <v/>
      </c>
      <c r="Q38" s="68" t="e">
        <f>IF(AND('Mapa final'!#REF!="Baja",'Mapa final'!#REF!="Menor"),CONCATENATE("R3C",'Mapa final'!#REF!),"")</f>
        <v>#REF!</v>
      </c>
      <c r="R38" s="68" t="e">
        <f>IF(AND('Mapa final'!#REF!="Baja",'Mapa final'!#REF!="Menor"),CONCATENATE("R3C",'Mapa final'!#REF!),"")</f>
        <v>#REF!</v>
      </c>
      <c r="S38" s="68" t="e">
        <f>IF(AND('Mapa final'!#REF!="Baja",'Mapa final'!#REF!="Menor"),CONCATENATE("R3C",'Mapa final'!#REF!),"")</f>
        <v>#REF!</v>
      </c>
      <c r="T38" s="68" t="e">
        <f>IF(AND('Mapa final'!#REF!="Baja",'Mapa final'!#REF!="Menor"),CONCATENATE("R3C",'Mapa final'!#REF!),"")</f>
        <v>#REF!</v>
      </c>
      <c r="U38" s="69" t="e">
        <f>IF(AND('Mapa final'!#REF!="Baja",'Mapa final'!#REF!="Menor"),CONCATENATE("R3C",'Mapa final'!#REF!),"")</f>
        <v>#REF!</v>
      </c>
      <c r="V38" s="67" t="str">
        <f>IF(AND('Mapa final'!$Y$11="Baja",'Mapa final'!$AA$11="Moderado"),CONCATENATE("R3C",'Mapa final'!$O$11),"")</f>
        <v/>
      </c>
      <c r="W38" s="68" t="e">
        <f>IF(AND('Mapa final'!#REF!="Baja",'Mapa final'!#REF!="Moderado"),CONCATENATE("R3C",'Mapa final'!#REF!),"")</f>
        <v>#REF!</v>
      </c>
      <c r="X38" s="68" t="e">
        <f>IF(AND('Mapa final'!#REF!="Baja",'Mapa final'!#REF!="Moderado"),CONCATENATE("R3C",'Mapa final'!#REF!),"")</f>
        <v>#REF!</v>
      </c>
      <c r="Y38" s="68" t="e">
        <f>IF(AND('Mapa final'!#REF!="Baja",'Mapa final'!#REF!="Moderado"),CONCATENATE("R3C",'Mapa final'!#REF!),"")</f>
        <v>#REF!</v>
      </c>
      <c r="Z38" s="68" t="e">
        <f>IF(AND('Mapa final'!#REF!="Baja",'Mapa final'!#REF!="Moderado"),CONCATENATE("R3C",'Mapa final'!#REF!),"")</f>
        <v>#REF!</v>
      </c>
      <c r="AA38" s="69" t="e">
        <f>IF(AND('Mapa final'!#REF!="Baja",'Mapa final'!#REF!="Moderado"),CONCATENATE("R3C",'Mapa final'!#REF!),"")</f>
        <v>#REF!</v>
      </c>
      <c r="AB38" s="52" t="str">
        <f>IF(AND('Mapa final'!$Y$11="Baja",'Mapa final'!$AA$11="Mayor"),CONCATENATE("R3C",'Mapa final'!$O$11),"")</f>
        <v/>
      </c>
      <c r="AC38" s="53" t="e">
        <f>IF(AND('Mapa final'!#REF!="Baja",'Mapa final'!#REF!="Mayor"),CONCATENATE("R3C",'Mapa final'!#REF!),"")</f>
        <v>#REF!</v>
      </c>
      <c r="AD38" s="53" t="e">
        <f>IF(AND('Mapa final'!#REF!="Baja",'Mapa final'!#REF!="Mayor"),CONCATENATE("R3C",'Mapa final'!#REF!),"")</f>
        <v>#REF!</v>
      </c>
      <c r="AE38" s="53" t="e">
        <f>IF(AND('Mapa final'!#REF!="Baja",'Mapa final'!#REF!="Mayor"),CONCATENATE("R3C",'Mapa final'!#REF!),"")</f>
        <v>#REF!</v>
      </c>
      <c r="AF38" s="53" t="e">
        <f>IF(AND('Mapa final'!#REF!="Baja",'Mapa final'!#REF!="Mayor"),CONCATENATE("R3C",'Mapa final'!#REF!),"")</f>
        <v>#REF!</v>
      </c>
      <c r="AG38" s="54" t="e">
        <f>IF(AND('Mapa final'!#REF!="Baja",'Mapa final'!#REF!="Mayor"),CONCATENATE("R3C",'Mapa final'!#REF!),"")</f>
        <v>#REF!</v>
      </c>
      <c r="AH38" s="55" t="str">
        <f>IF(AND('Mapa final'!$Y$11="Baja",'Mapa final'!$AA$11="Catastrófico"),CONCATENATE("R3C",'Mapa final'!$O$11),"")</f>
        <v/>
      </c>
      <c r="AI38" s="56" t="e">
        <f>IF(AND('Mapa final'!#REF!="Baja",'Mapa final'!#REF!="Catastrófico"),CONCATENATE("R3C",'Mapa final'!#REF!),"")</f>
        <v>#REF!</v>
      </c>
      <c r="AJ38" s="56" t="e">
        <f>IF(AND('Mapa final'!#REF!="Baja",'Mapa final'!#REF!="Catastrófico"),CONCATENATE("R3C",'Mapa final'!#REF!),"")</f>
        <v>#REF!</v>
      </c>
      <c r="AK38" s="56" t="e">
        <f>IF(AND('Mapa final'!#REF!="Baja",'Mapa final'!#REF!="Catastrófico"),CONCATENATE("R3C",'Mapa final'!#REF!),"")</f>
        <v>#REF!</v>
      </c>
      <c r="AL38" s="56" t="e">
        <f>IF(AND('Mapa final'!#REF!="Baja",'Mapa final'!#REF!="Catastrófico"),CONCATENATE("R3C",'Mapa final'!#REF!),"")</f>
        <v>#REF!</v>
      </c>
      <c r="AM38" s="57" t="e">
        <f>IF(AND('Mapa final'!#REF!="Baja",'Mapa final'!#REF!="Catastrófico"),CONCATENATE("R3C",'Mapa final'!#REF!),"")</f>
        <v>#REF!</v>
      </c>
      <c r="AN38" s="83"/>
      <c r="AO38" s="364"/>
      <c r="AP38" s="365"/>
      <c r="AQ38" s="365"/>
      <c r="AR38" s="365"/>
      <c r="AS38" s="365"/>
      <c r="AT38" s="366"/>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92"/>
      <c r="C39" s="292"/>
      <c r="D39" s="293"/>
      <c r="E39" s="333"/>
      <c r="F39" s="334"/>
      <c r="G39" s="334"/>
      <c r="H39" s="334"/>
      <c r="I39" s="334"/>
      <c r="J39" s="76" t="str">
        <f>IF(AND('Mapa final'!$Y$12="Baja",'Mapa final'!$AA$12="Leve"),CONCATENATE("R4C",'Mapa final'!$O$12),"")</f>
        <v/>
      </c>
      <c r="K39" s="77" t="e">
        <f>IF(AND('Mapa final'!#REF!="Baja",'Mapa final'!#REF!="Leve"),CONCATENATE("R4C",'Mapa final'!#REF!),"")</f>
        <v>#REF!</v>
      </c>
      <c r="L39" s="77" t="e">
        <f>IF(AND('Mapa final'!#REF!="Baja",'Mapa final'!#REF!="Leve"),CONCATENATE("R4C",'Mapa final'!#REF!),"")</f>
        <v>#REF!</v>
      </c>
      <c r="M39" s="77" t="e">
        <f>IF(AND('Mapa final'!#REF!="Baja",'Mapa final'!#REF!="Leve"),CONCATENATE("R4C",'Mapa final'!#REF!),"")</f>
        <v>#REF!</v>
      </c>
      <c r="N39" s="77" t="e">
        <f>IF(AND('Mapa final'!#REF!="Baja",'Mapa final'!#REF!="Leve"),CONCATENATE("R4C",'Mapa final'!#REF!),"")</f>
        <v>#REF!</v>
      </c>
      <c r="O39" s="78" t="e">
        <f>IF(AND('Mapa final'!#REF!="Baja",'Mapa final'!#REF!="Leve"),CONCATENATE("R4C",'Mapa final'!#REF!),"")</f>
        <v>#REF!</v>
      </c>
      <c r="P39" s="67" t="str">
        <f>IF(AND('Mapa final'!$Y$12="Baja",'Mapa final'!$AA$12="Menor"),CONCATENATE("R4C",'Mapa final'!$O$12),"")</f>
        <v/>
      </c>
      <c r="Q39" s="68" t="e">
        <f>IF(AND('Mapa final'!#REF!="Baja",'Mapa final'!#REF!="Menor"),CONCATENATE("R4C",'Mapa final'!#REF!),"")</f>
        <v>#REF!</v>
      </c>
      <c r="R39" s="68" t="e">
        <f>IF(AND('Mapa final'!#REF!="Baja",'Mapa final'!#REF!="Menor"),CONCATENATE("R4C",'Mapa final'!#REF!),"")</f>
        <v>#REF!</v>
      </c>
      <c r="S39" s="68" t="e">
        <f>IF(AND('Mapa final'!#REF!="Baja",'Mapa final'!#REF!="Menor"),CONCATENATE("R4C",'Mapa final'!#REF!),"")</f>
        <v>#REF!</v>
      </c>
      <c r="T39" s="68" t="e">
        <f>IF(AND('Mapa final'!#REF!="Baja",'Mapa final'!#REF!="Menor"),CONCATENATE("R4C",'Mapa final'!#REF!),"")</f>
        <v>#REF!</v>
      </c>
      <c r="U39" s="69" t="e">
        <f>IF(AND('Mapa final'!#REF!="Baja",'Mapa final'!#REF!="Menor"),CONCATENATE("R4C",'Mapa final'!#REF!),"")</f>
        <v>#REF!</v>
      </c>
      <c r="V39" s="67" t="str">
        <f>IF(AND('Mapa final'!$Y$12="Baja",'Mapa final'!$AA$12="Moderado"),CONCATENATE("R4C",'Mapa final'!$O$12),"")</f>
        <v/>
      </c>
      <c r="W39" s="68" t="e">
        <f>IF(AND('Mapa final'!#REF!="Baja",'Mapa final'!#REF!="Moderado"),CONCATENATE("R4C",'Mapa final'!#REF!),"")</f>
        <v>#REF!</v>
      </c>
      <c r="X39" s="68" t="e">
        <f>IF(AND('Mapa final'!#REF!="Baja",'Mapa final'!#REF!="Moderado"),CONCATENATE("R4C",'Mapa final'!#REF!),"")</f>
        <v>#REF!</v>
      </c>
      <c r="Y39" s="68" t="e">
        <f>IF(AND('Mapa final'!#REF!="Baja",'Mapa final'!#REF!="Moderado"),CONCATENATE("R4C",'Mapa final'!#REF!),"")</f>
        <v>#REF!</v>
      </c>
      <c r="Z39" s="68" t="e">
        <f>IF(AND('Mapa final'!#REF!="Baja",'Mapa final'!#REF!="Moderado"),CONCATENATE("R4C",'Mapa final'!#REF!),"")</f>
        <v>#REF!</v>
      </c>
      <c r="AA39" s="69" t="e">
        <f>IF(AND('Mapa final'!#REF!="Baja",'Mapa final'!#REF!="Moderado"),CONCATENATE("R4C",'Mapa final'!#REF!),"")</f>
        <v>#REF!</v>
      </c>
      <c r="AB39" s="52" t="str">
        <f>IF(AND('Mapa final'!$Y$12="Baja",'Mapa final'!$AA$12="Mayor"),CONCATENATE("R4C",'Mapa final'!$O$12),"")</f>
        <v/>
      </c>
      <c r="AC39" s="53" t="e">
        <f>IF(AND('Mapa final'!#REF!="Baja",'Mapa final'!#REF!="Mayor"),CONCATENATE("R4C",'Mapa final'!#REF!),"")</f>
        <v>#REF!</v>
      </c>
      <c r="AD39" s="53" t="e">
        <f>IF(AND('Mapa final'!#REF!="Baja",'Mapa final'!#REF!="Mayor"),CONCATENATE("R4C",'Mapa final'!#REF!),"")</f>
        <v>#REF!</v>
      </c>
      <c r="AE39" s="53" t="e">
        <f>IF(AND('Mapa final'!#REF!="Baja",'Mapa final'!#REF!="Mayor"),CONCATENATE("R4C",'Mapa final'!#REF!),"")</f>
        <v>#REF!</v>
      </c>
      <c r="AF39" s="53" t="e">
        <f>IF(AND('Mapa final'!#REF!="Baja",'Mapa final'!#REF!="Mayor"),CONCATENATE("R4C",'Mapa final'!#REF!),"")</f>
        <v>#REF!</v>
      </c>
      <c r="AG39" s="54" t="e">
        <f>IF(AND('Mapa final'!#REF!="Baja",'Mapa final'!#REF!="Mayor"),CONCATENATE("R4C",'Mapa final'!#REF!),"")</f>
        <v>#REF!</v>
      </c>
      <c r="AH39" s="55" t="str">
        <f>IF(AND('Mapa final'!$Y$12="Baja",'Mapa final'!$AA$12="Catastrófico"),CONCATENATE("R4C",'Mapa final'!$O$12),"")</f>
        <v/>
      </c>
      <c r="AI39" s="56" t="e">
        <f>IF(AND('Mapa final'!#REF!="Baja",'Mapa final'!#REF!="Catastrófico"),CONCATENATE("R4C",'Mapa final'!#REF!),"")</f>
        <v>#REF!</v>
      </c>
      <c r="AJ39" s="56" t="e">
        <f>IF(AND('Mapa final'!#REF!="Baja",'Mapa final'!#REF!="Catastrófico"),CONCATENATE("R4C",'Mapa final'!#REF!),"")</f>
        <v>#REF!</v>
      </c>
      <c r="AK39" s="56" t="e">
        <f>IF(AND('Mapa final'!#REF!="Baja",'Mapa final'!#REF!="Catastrófico"),CONCATENATE("R4C",'Mapa final'!#REF!),"")</f>
        <v>#REF!</v>
      </c>
      <c r="AL39" s="56" t="e">
        <f>IF(AND('Mapa final'!#REF!="Baja",'Mapa final'!#REF!="Catastrófico"),CONCATENATE("R4C",'Mapa final'!#REF!),"")</f>
        <v>#REF!</v>
      </c>
      <c r="AM39" s="57" t="e">
        <f>IF(AND('Mapa final'!#REF!="Baja",'Mapa final'!#REF!="Catastrófico"),CONCATENATE("R4C",'Mapa final'!#REF!),"")</f>
        <v>#REF!</v>
      </c>
      <c r="AN39" s="83"/>
      <c r="AO39" s="364"/>
      <c r="AP39" s="365"/>
      <c r="AQ39" s="365"/>
      <c r="AR39" s="365"/>
      <c r="AS39" s="365"/>
      <c r="AT39" s="366"/>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92"/>
      <c r="C40" s="292"/>
      <c r="D40" s="293"/>
      <c r="E40" s="333"/>
      <c r="F40" s="334"/>
      <c r="G40" s="334"/>
      <c r="H40" s="334"/>
      <c r="I40" s="334"/>
      <c r="J40" s="76" t="str">
        <f>IF(AND('Mapa final'!$Y$13="Baja",'Mapa final'!$AA$13="Leve"),CONCATENATE("R5C",'Mapa final'!$O$13),"")</f>
        <v/>
      </c>
      <c r="K40" s="77" t="e">
        <f>IF(AND('Mapa final'!#REF!="Baja",'Mapa final'!#REF!="Leve"),CONCATENATE("R5C",'Mapa final'!#REF!),"")</f>
        <v>#REF!</v>
      </c>
      <c r="L40" s="77" t="e">
        <f>IF(AND('Mapa final'!#REF!="Baja",'Mapa final'!#REF!="Leve"),CONCATENATE("R5C",'Mapa final'!#REF!),"")</f>
        <v>#REF!</v>
      </c>
      <c r="M40" s="77" t="e">
        <f>IF(AND('Mapa final'!#REF!="Baja",'Mapa final'!#REF!="Leve"),CONCATENATE("R5C",'Mapa final'!#REF!),"")</f>
        <v>#REF!</v>
      </c>
      <c r="N40" s="77" t="e">
        <f>IF(AND('Mapa final'!#REF!="Baja",'Mapa final'!#REF!="Leve"),CONCATENATE("R5C",'Mapa final'!#REF!),"")</f>
        <v>#REF!</v>
      </c>
      <c r="O40" s="78" t="e">
        <f>IF(AND('Mapa final'!#REF!="Baja",'Mapa final'!#REF!="Leve"),CONCATENATE("R5C",'Mapa final'!#REF!),"")</f>
        <v>#REF!</v>
      </c>
      <c r="P40" s="67" t="str">
        <f>IF(AND('Mapa final'!$Y$13="Baja",'Mapa final'!$AA$13="Menor"),CONCATENATE("R5C",'Mapa final'!$O$13),"")</f>
        <v/>
      </c>
      <c r="Q40" s="68" t="e">
        <f>IF(AND('Mapa final'!#REF!="Baja",'Mapa final'!#REF!="Menor"),CONCATENATE("R5C",'Mapa final'!#REF!),"")</f>
        <v>#REF!</v>
      </c>
      <c r="R40" s="68" t="e">
        <f>IF(AND('Mapa final'!#REF!="Baja",'Mapa final'!#REF!="Menor"),CONCATENATE("R5C",'Mapa final'!#REF!),"")</f>
        <v>#REF!</v>
      </c>
      <c r="S40" s="68" t="e">
        <f>IF(AND('Mapa final'!#REF!="Baja",'Mapa final'!#REF!="Menor"),CONCATENATE("R5C",'Mapa final'!#REF!),"")</f>
        <v>#REF!</v>
      </c>
      <c r="T40" s="68" t="e">
        <f>IF(AND('Mapa final'!#REF!="Baja",'Mapa final'!#REF!="Menor"),CONCATENATE("R5C",'Mapa final'!#REF!),"")</f>
        <v>#REF!</v>
      </c>
      <c r="U40" s="69" t="e">
        <f>IF(AND('Mapa final'!#REF!="Baja",'Mapa final'!#REF!="Menor"),CONCATENATE("R5C",'Mapa final'!#REF!),"")</f>
        <v>#REF!</v>
      </c>
      <c r="V40" s="67" t="str">
        <f>IF(AND('Mapa final'!$Y$13="Baja",'Mapa final'!$AA$13="Moderado"),CONCATENATE("R5C",'Mapa final'!$O$13),"")</f>
        <v>R5C1</v>
      </c>
      <c r="W40" s="68" t="e">
        <f>IF(AND('Mapa final'!#REF!="Baja",'Mapa final'!#REF!="Moderado"),CONCATENATE("R5C",'Mapa final'!#REF!),"")</f>
        <v>#REF!</v>
      </c>
      <c r="X40" s="68" t="e">
        <f>IF(AND('Mapa final'!#REF!="Baja",'Mapa final'!#REF!="Moderado"),CONCATENATE("R5C",'Mapa final'!#REF!),"")</f>
        <v>#REF!</v>
      </c>
      <c r="Y40" s="68" t="e">
        <f>IF(AND('Mapa final'!#REF!="Baja",'Mapa final'!#REF!="Moderado"),CONCATENATE("R5C",'Mapa final'!#REF!),"")</f>
        <v>#REF!</v>
      </c>
      <c r="Z40" s="68" t="e">
        <f>IF(AND('Mapa final'!#REF!="Baja",'Mapa final'!#REF!="Moderado"),CONCATENATE("R5C",'Mapa final'!#REF!),"")</f>
        <v>#REF!</v>
      </c>
      <c r="AA40" s="69" t="e">
        <f>IF(AND('Mapa final'!#REF!="Baja",'Mapa final'!#REF!="Moderado"),CONCATENATE("R5C",'Mapa final'!#REF!),"")</f>
        <v>#REF!</v>
      </c>
      <c r="AB40" s="52" t="str">
        <f>IF(AND('Mapa final'!$Y$13="Baja",'Mapa final'!$AA$13="Mayor"),CONCATENATE("R5C",'Mapa final'!$O$13),"")</f>
        <v/>
      </c>
      <c r="AC40" s="53" t="e">
        <f>IF(AND('Mapa final'!#REF!="Baja",'Mapa final'!#REF!="Mayor"),CONCATENATE("R5C",'Mapa final'!#REF!),"")</f>
        <v>#REF!</v>
      </c>
      <c r="AD40" s="53" t="e">
        <f>IF(AND('Mapa final'!#REF!="Baja",'Mapa final'!#REF!="Mayor"),CONCATENATE("R5C",'Mapa final'!#REF!),"")</f>
        <v>#REF!</v>
      </c>
      <c r="AE40" s="53" t="e">
        <f>IF(AND('Mapa final'!#REF!="Baja",'Mapa final'!#REF!="Mayor"),CONCATENATE("R5C",'Mapa final'!#REF!),"")</f>
        <v>#REF!</v>
      </c>
      <c r="AF40" s="53" t="e">
        <f>IF(AND('Mapa final'!#REF!="Baja",'Mapa final'!#REF!="Mayor"),CONCATENATE("R5C",'Mapa final'!#REF!),"")</f>
        <v>#REF!</v>
      </c>
      <c r="AG40" s="54" t="e">
        <f>IF(AND('Mapa final'!#REF!="Baja",'Mapa final'!#REF!="Mayor"),CONCATENATE("R5C",'Mapa final'!#REF!),"")</f>
        <v>#REF!</v>
      </c>
      <c r="AH40" s="55" t="str">
        <f>IF(AND('Mapa final'!$Y$13="Baja",'Mapa final'!$AA$13="Catastrófico"),CONCATENATE("R5C",'Mapa final'!$O$13),"")</f>
        <v/>
      </c>
      <c r="AI40" s="56" t="e">
        <f>IF(AND('Mapa final'!#REF!="Baja",'Mapa final'!#REF!="Catastrófico"),CONCATENATE("R5C",'Mapa final'!#REF!),"")</f>
        <v>#REF!</v>
      </c>
      <c r="AJ40" s="56" t="e">
        <f>IF(AND('Mapa final'!#REF!="Baja",'Mapa final'!#REF!="Catastrófico"),CONCATENATE("R5C",'Mapa final'!#REF!),"")</f>
        <v>#REF!</v>
      </c>
      <c r="AK40" s="56" t="e">
        <f>IF(AND('Mapa final'!#REF!="Baja",'Mapa final'!#REF!="Catastrófico"),CONCATENATE("R5C",'Mapa final'!#REF!),"")</f>
        <v>#REF!</v>
      </c>
      <c r="AL40" s="56" t="e">
        <f>IF(AND('Mapa final'!#REF!="Baja",'Mapa final'!#REF!="Catastrófico"),CONCATENATE("R5C",'Mapa final'!#REF!),"")</f>
        <v>#REF!</v>
      </c>
      <c r="AM40" s="57" t="e">
        <f>IF(AND('Mapa final'!#REF!="Baja",'Mapa final'!#REF!="Catastrófico"),CONCATENATE("R5C",'Mapa final'!#REF!),"")</f>
        <v>#REF!</v>
      </c>
      <c r="AN40" s="83"/>
      <c r="AO40" s="364"/>
      <c r="AP40" s="365"/>
      <c r="AQ40" s="365"/>
      <c r="AR40" s="365"/>
      <c r="AS40" s="365"/>
      <c r="AT40" s="366"/>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92"/>
      <c r="C41" s="292"/>
      <c r="D41" s="293"/>
      <c r="E41" s="333"/>
      <c r="F41" s="334"/>
      <c r="G41" s="334"/>
      <c r="H41" s="334"/>
      <c r="I41" s="334"/>
      <c r="J41" s="76" t="str">
        <f>IF(AND('Mapa final'!$Y$14="Baja",'Mapa final'!$AA$14="Leve"),CONCATENATE("R6C",'Mapa final'!$O$14),"")</f>
        <v/>
      </c>
      <c r="K41" s="77" t="e">
        <f>IF(AND('Mapa final'!#REF!="Baja",'Mapa final'!#REF!="Leve"),CONCATENATE("R6C",'Mapa final'!#REF!),"")</f>
        <v>#REF!</v>
      </c>
      <c r="L41" s="77" t="e">
        <f>IF(AND('Mapa final'!#REF!="Baja",'Mapa final'!#REF!="Leve"),CONCATENATE("R6C",'Mapa final'!#REF!),"")</f>
        <v>#REF!</v>
      </c>
      <c r="M41" s="77" t="e">
        <f>IF(AND('Mapa final'!#REF!="Baja",'Mapa final'!#REF!="Leve"),CONCATENATE("R6C",'Mapa final'!#REF!),"")</f>
        <v>#REF!</v>
      </c>
      <c r="N41" s="77" t="e">
        <f>IF(AND('Mapa final'!#REF!="Baja",'Mapa final'!#REF!="Leve"),CONCATENATE("R6C",'Mapa final'!#REF!),"")</f>
        <v>#REF!</v>
      </c>
      <c r="O41" s="78" t="e">
        <f>IF(AND('Mapa final'!#REF!="Baja",'Mapa final'!#REF!="Leve"),CONCATENATE("R6C",'Mapa final'!#REF!),"")</f>
        <v>#REF!</v>
      </c>
      <c r="P41" s="67" t="str">
        <f>IF(AND('Mapa final'!$Y$14="Baja",'Mapa final'!$AA$14="Menor"),CONCATENATE("R6C",'Mapa final'!$O$14),"")</f>
        <v/>
      </c>
      <c r="Q41" s="68" t="e">
        <f>IF(AND('Mapa final'!#REF!="Baja",'Mapa final'!#REF!="Menor"),CONCATENATE("R6C",'Mapa final'!#REF!),"")</f>
        <v>#REF!</v>
      </c>
      <c r="R41" s="68" t="e">
        <f>IF(AND('Mapa final'!#REF!="Baja",'Mapa final'!#REF!="Menor"),CONCATENATE("R6C",'Mapa final'!#REF!),"")</f>
        <v>#REF!</v>
      </c>
      <c r="S41" s="68" t="e">
        <f>IF(AND('Mapa final'!#REF!="Baja",'Mapa final'!#REF!="Menor"),CONCATENATE("R6C",'Mapa final'!#REF!),"")</f>
        <v>#REF!</v>
      </c>
      <c r="T41" s="68" t="e">
        <f>IF(AND('Mapa final'!#REF!="Baja",'Mapa final'!#REF!="Menor"),CONCATENATE("R6C",'Mapa final'!#REF!),"")</f>
        <v>#REF!</v>
      </c>
      <c r="U41" s="69" t="e">
        <f>IF(AND('Mapa final'!#REF!="Baja",'Mapa final'!#REF!="Menor"),CONCATENATE("R6C",'Mapa final'!#REF!),"")</f>
        <v>#REF!</v>
      </c>
      <c r="V41" s="67" t="str">
        <f>IF(AND('Mapa final'!$Y$14="Baja",'Mapa final'!$AA$14="Moderado"),CONCATENATE("R6C",'Mapa final'!$O$14),"")</f>
        <v>R6C1</v>
      </c>
      <c r="W41" s="68" t="e">
        <f>IF(AND('Mapa final'!#REF!="Baja",'Mapa final'!#REF!="Moderado"),CONCATENATE("R6C",'Mapa final'!#REF!),"")</f>
        <v>#REF!</v>
      </c>
      <c r="X41" s="68" t="e">
        <f>IF(AND('Mapa final'!#REF!="Baja",'Mapa final'!#REF!="Moderado"),CONCATENATE("R6C",'Mapa final'!#REF!),"")</f>
        <v>#REF!</v>
      </c>
      <c r="Y41" s="68" t="e">
        <f>IF(AND('Mapa final'!#REF!="Baja",'Mapa final'!#REF!="Moderado"),CONCATENATE("R6C",'Mapa final'!#REF!),"")</f>
        <v>#REF!</v>
      </c>
      <c r="Z41" s="68" t="e">
        <f>IF(AND('Mapa final'!#REF!="Baja",'Mapa final'!#REF!="Moderado"),CONCATENATE("R6C",'Mapa final'!#REF!),"")</f>
        <v>#REF!</v>
      </c>
      <c r="AA41" s="69" t="e">
        <f>IF(AND('Mapa final'!#REF!="Baja",'Mapa final'!#REF!="Moderado"),CONCATENATE("R6C",'Mapa final'!#REF!),"")</f>
        <v>#REF!</v>
      </c>
      <c r="AB41" s="52" t="str">
        <f>IF(AND('Mapa final'!$Y$14="Baja",'Mapa final'!$AA$14="Mayor"),CONCATENATE("R6C",'Mapa final'!$O$14),"")</f>
        <v/>
      </c>
      <c r="AC41" s="53" t="e">
        <f>IF(AND('Mapa final'!#REF!="Baja",'Mapa final'!#REF!="Mayor"),CONCATENATE("R6C",'Mapa final'!#REF!),"")</f>
        <v>#REF!</v>
      </c>
      <c r="AD41" s="53" t="e">
        <f>IF(AND('Mapa final'!#REF!="Baja",'Mapa final'!#REF!="Mayor"),CONCATENATE("R6C",'Mapa final'!#REF!),"")</f>
        <v>#REF!</v>
      </c>
      <c r="AE41" s="53" t="e">
        <f>IF(AND('Mapa final'!#REF!="Baja",'Mapa final'!#REF!="Mayor"),CONCATENATE("R6C",'Mapa final'!#REF!),"")</f>
        <v>#REF!</v>
      </c>
      <c r="AF41" s="53" t="e">
        <f>IF(AND('Mapa final'!#REF!="Baja",'Mapa final'!#REF!="Mayor"),CONCATENATE("R6C",'Mapa final'!#REF!),"")</f>
        <v>#REF!</v>
      </c>
      <c r="AG41" s="54" t="e">
        <f>IF(AND('Mapa final'!#REF!="Baja",'Mapa final'!#REF!="Mayor"),CONCATENATE("R6C",'Mapa final'!#REF!),"")</f>
        <v>#REF!</v>
      </c>
      <c r="AH41" s="55" t="str">
        <f>IF(AND('Mapa final'!$Y$14="Baja",'Mapa final'!$AA$14="Catastrófico"),CONCATENATE("R6C",'Mapa final'!$O$14),"")</f>
        <v/>
      </c>
      <c r="AI41" s="56" t="e">
        <f>IF(AND('Mapa final'!#REF!="Baja",'Mapa final'!#REF!="Catastrófico"),CONCATENATE("R6C",'Mapa final'!#REF!),"")</f>
        <v>#REF!</v>
      </c>
      <c r="AJ41" s="56" t="e">
        <f>IF(AND('Mapa final'!#REF!="Baja",'Mapa final'!#REF!="Catastrófico"),CONCATENATE("R6C",'Mapa final'!#REF!),"")</f>
        <v>#REF!</v>
      </c>
      <c r="AK41" s="56" t="e">
        <f>IF(AND('Mapa final'!#REF!="Baja",'Mapa final'!#REF!="Catastrófico"),CONCATENATE("R6C",'Mapa final'!#REF!),"")</f>
        <v>#REF!</v>
      </c>
      <c r="AL41" s="56" t="e">
        <f>IF(AND('Mapa final'!#REF!="Baja",'Mapa final'!#REF!="Catastrófico"),CONCATENATE("R6C",'Mapa final'!#REF!),"")</f>
        <v>#REF!</v>
      </c>
      <c r="AM41" s="57" t="e">
        <f>IF(AND('Mapa final'!#REF!="Baja",'Mapa final'!#REF!="Catastrófico"),CONCATENATE("R6C",'Mapa final'!#REF!),"")</f>
        <v>#REF!</v>
      </c>
      <c r="AN41" s="83"/>
      <c r="AO41" s="364"/>
      <c r="AP41" s="365"/>
      <c r="AQ41" s="365"/>
      <c r="AR41" s="365"/>
      <c r="AS41" s="365"/>
      <c r="AT41" s="366"/>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92"/>
      <c r="C42" s="292"/>
      <c r="D42" s="293"/>
      <c r="E42" s="333"/>
      <c r="F42" s="334"/>
      <c r="G42" s="334"/>
      <c r="H42" s="334"/>
      <c r="I42" s="334"/>
      <c r="J42" s="76" t="str">
        <f>IF(AND('Mapa final'!$Y$15="Baja",'Mapa final'!$AA$15="Leve"),CONCATENATE("R7C",'Mapa final'!$O$15),"")</f>
        <v/>
      </c>
      <c r="K42" s="77" t="e">
        <f>IF(AND('Mapa final'!#REF!="Baja",'Mapa final'!#REF!="Leve"),CONCATENATE("R7C",'Mapa final'!#REF!),"")</f>
        <v>#REF!</v>
      </c>
      <c r="L42" s="77" t="e">
        <f>IF(AND('Mapa final'!#REF!="Baja",'Mapa final'!#REF!="Leve"),CONCATENATE("R7C",'Mapa final'!#REF!),"")</f>
        <v>#REF!</v>
      </c>
      <c r="M42" s="77" t="e">
        <f>IF(AND('Mapa final'!#REF!="Baja",'Mapa final'!#REF!="Leve"),CONCATENATE("R7C",'Mapa final'!#REF!),"")</f>
        <v>#REF!</v>
      </c>
      <c r="N42" s="77" t="e">
        <f>IF(AND('Mapa final'!#REF!="Baja",'Mapa final'!#REF!="Leve"),CONCATENATE("R7C",'Mapa final'!#REF!),"")</f>
        <v>#REF!</v>
      </c>
      <c r="O42" s="78" t="e">
        <f>IF(AND('Mapa final'!#REF!="Baja",'Mapa final'!#REF!="Leve"),CONCATENATE("R7C",'Mapa final'!#REF!),"")</f>
        <v>#REF!</v>
      </c>
      <c r="P42" s="67" t="str">
        <f>IF(AND('Mapa final'!$Y$15="Baja",'Mapa final'!$AA$15="Menor"),CONCATENATE("R7C",'Mapa final'!$O$15),"")</f>
        <v/>
      </c>
      <c r="Q42" s="68" t="e">
        <f>IF(AND('Mapa final'!#REF!="Baja",'Mapa final'!#REF!="Menor"),CONCATENATE("R7C",'Mapa final'!#REF!),"")</f>
        <v>#REF!</v>
      </c>
      <c r="R42" s="68" t="e">
        <f>IF(AND('Mapa final'!#REF!="Baja",'Mapa final'!#REF!="Menor"),CONCATENATE("R7C",'Mapa final'!#REF!),"")</f>
        <v>#REF!</v>
      </c>
      <c r="S42" s="68" t="e">
        <f>IF(AND('Mapa final'!#REF!="Baja",'Mapa final'!#REF!="Menor"),CONCATENATE("R7C",'Mapa final'!#REF!),"")</f>
        <v>#REF!</v>
      </c>
      <c r="T42" s="68" t="e">
        <f>IF(AND('Mapa final'!#REF!="Baja",'Mapa final'!#REF!="Menor"),CONCATENATE("R7C",'Mapa final'!#REF!),"")</f>
        <v>#REF!</v>
      </c>
      <c r="U42" s="69" t="e">
        <f>IF(AND('Mapa final'!#REF!="Baja",'Mapa final'!#REF!="Menor"),CONCATENATE("R7C",'Mapa final'!#REF!),"")</f>
        <v>#REF!</v>
      </c>
      <c r="V42" s="67" t="str">
        <f>IF(AND('Mapa final'!$Y$15="Baja",'Mapa final'!$AA$15="Moderado"),CONCATENATE("R7C",'Mapa final'!$O$15),"")</f>
        <v>R7C1</v>
      </c>
      <c r="W42" s="68" t="e">
        <f>IF(AND('Mapa final'!#REF!="Baja",'Mapa final'!#REF!="Moderado"),CONCATENATE("R7C",'Mapa final'!#REF!),"")</f>
        <v>#REF!</v>
      </c>
      <c r="X42" s="68" t="e">
        <f>IF(AND('Mapa final'!#REF!="Baja",'Mapa final'!#REF!="Moderado"),CONCATENATE("R7C",'Mapa final'!#REF!),"")</f>
        <v>#REF!</v>
      </c>
      <c r="Y42" s="68" t="e">
        <f>IF(AND('Mapa final'!#REF!="Baja",'Mapa final'!#REF!="Moderado"),CONCATENATE("R7C",'Mapa final'!#REF!),"")</f>
        <v>#REF!</v>
      </c>
      <c r="Z42" s="68" t="e">
        <f>IF(AND('Mapa final'!#REF!="Baja",'Mapa final'!#REF!="Moderado"),CONCATENATE("R7C",'Mapa final'!#REF!),"")</f>
        <v>#REF!</v>
      </c>
      <c r="AA42" s="69" t="e">
        <f>IF(AND('Mapa final'!#REF!="Baja",'Mapa final'!#REF!="Moderado"),CONCATENATE("R7C",'Mapa final'!#REF!),"")</f>
        <v>#REF!</v>
      </c>
      <c r="AB42" s="52" t="str">
        <f>IF(AND('Mapa final'!$Y$15="Baja",'Mapa final'!$AA$15="Mayor"),CONCATENATE("R7C",'Mapa final'!$O$15),"")</f>
        <v/>
      </c>
      <c r="AC42" s="53" t="e">
        <f>IF(AND('Mapa final'!#REF!="Baja",'Mapa final'!#REF!="Mayor"),CONCATENATE("R7C",'Mapa final'!#REF!),"")</f>
        <v>#REF!</v>
      </c>
      <c r="AD42" s="53" t="e">
        <f>IF(AND('Mapa final'!#REF!="Baja",'Mapa final'!#REF!="Mayor"),CONCATENATE("R7C",'Mapa final'!#REF!),"")</f>
        <v>#REF!</v>
      </c>
      <c r="AE42" s="53" t="e">
        <f>IF(AND('Mapa final'!#REF!="Baja",'Mapa final'!#REF!="Mayor"),CONCATENATE("R7C",'Mapa final'!#REF!),"")</f>
        <v>#REF!</v>
      </c>
      <c r="AF42" s="53" t="e">
        <f>IF(AND('Mapa final'!#REF!="Baja",'Mapa final'!#REF!="Mayor"),CONCATENATE("R7C",'Mapa final'!#REF!),"")</f>
        <v>#REF!</v>
      </c>
      <c r="AG42" s="54" t="e">
        <f>IF(AND('Mapa final'!#REF!="Baja",'Mapa final'!#REF!="Mayor"),CONCATENATE("R7C",'Mapa final'!#REF!),"")</f>
        <v>#REF!</v>
      </c>
      <c r="AH42" s="55" t="str">
        <f>IF(AND('Mapa final'!$Y$15="Baja",'Mapa final'!$AA$15="Catastrófico"),CONCATENATE("R7C",'Mapa final'!$O$15),"")</f>
        <v/>
      </c>
      <c r="AI42" s="56" t="e">
        <f>IF(AND('Mapa final'!#REF!="Baja",'Mapa final'!#REF!="Catastrófico"),CONCATENATE("R7C",'Mapa final'!#REF!),"")</f>
        <v>#REF!</v>
      </c>
      <c r="AJ42" s="56" t="e">
        <f>IF(AND('Mapa final'!#REF!="Baja",'Mapa final'!#REF!="Catastrófico"),CONCATENATE("R7C",'Mapa final'!#REF!),"")</f>
        <v>#REF!</v>
      </c>
      <c r="AK42" s="56" t="e">
        <f>IF(AND('Mapa final'!#REF!="Baja",'Mapa final'!#REF!="Catastrófico"),CONCATENATE("R7C",'Mapa final'!#REF!),"")</f>
        <v>#REF!</v>
      </c>
      <c r="AL42" s="56" t="e">
        <f>IF(AND('Mapa final'!#REF!="Baja",'Mapa final'!#REF!="Catastrófico"),CONCATENATE("R7C",'Mapa final'!#REF!),"")</f>
        <v>#REF!</v>
      </c>
      <c r="AM42" s="57" t="e">
        <f>IF(AND('Mapa final'!#REF!="Baja",'Mapa final'!#REF!="Catastrófico"),CONCATENATE("R7C",'Mapa final'!#REF!),"")</f>
        <v>#REF!</v>
      </c>
      <c r="AN42" s="83"/>
      <c r="AO42" s="364"/>
      <c r="AP42" s="365"/>
      <c r="AQ42" s="365"/>
      <c r="AR42" s="365"/>
      <c r="AS42" s="365"/>
      <c r="AT42" s="366"/>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92"/>
      <c r="C43" s="292"/>
      <c r="D43" s="293"/>
      <c r="E43" s="333"/>
      <c r="F43" s="334"/>
      <c r="G43" s="334"/>
      <c r="H43" s="334"/>
      <c r="I43" s="334"/>
      <c r="J43" s="76" t="str">
        <f>IF(AND('Mapa final'!$Y$16="Baja",'Mapa final'!$AA$16="Leve"),CONCATENATE("R8C",'Mapa final'!$O$16),"")</f>
        <v/>
      </c>
      <c r="K43" s="77" t="str">
        <f>IF(AND('Mapa final'!$Y$17="Baja",'Mapa final'!$AA$17="Leve"),CONCATENATE("R8C",'Mapa final'!$O$17),"")</f>
        <v/>
      </c>
      <c r="L43" s="77" t="str">
        <f>IF(AND('Mapa final'!$Y$18="Baja",'Mapa final'!$AA$18="Leve"),CONCATENATE("R8C",'Mapa final'!$O$18),"")</f>
        <v/>
      </c>
      <c r="M43" s="77" t="str">
        <f>IF(AND('Mapa final'!$Y$19="Baja",'Mapa final'!$AA$19="Leve"),CONCATENATE("R8C",'Mapa final'!$O$19),"")</f>
        <v/>
      </c>
      <c r="N43" s="77" t="str">
        <f>IF(AND('Mapa final'!$Y$20="Baja",'Mapa final'!$AA$20="Leve"),CONCATENATE("R8C",'Mapa final'!$O$20),"")</f>
        <v/>
      </c>
      <c r="O43" s="78" t="str">
        <f>IF(AND('Mapa final'!$Y$21="Baja",'Mapa final'!$AA$21="Leve"),CONCATENATE("R8C",'Mapa final'!$O$21),"")</f>
        <v/>
      </c>
      <c r="P43" s="67" t="str">
        <f>IF(AND('Mapa final'!$Y$16="Baja",'Mapa final'!$AA$16="Menor"),CONCATENATE("R8C",'Mapa final'!$O$16),"")</f>
        <v/>
      </c>
      <c r="Q43" s="68" t="str">
        <f>IF(AND('Mapa final'!$Y$17="Baja",'Mapa final'!$AA$17="Menor"),CONCATENATE("R8C",'Mapa final'!$O$17),"")</f>
        <v/>
      </c>
      <c r="R43" s="68" t="str">
        <f>IF(AND('Mapa final'!$Y$18="Baja",'Mapa final'!$AA$18="Menor"),CONCATENATE("R8C",'Mapa final'!$O$18),"")</f>
        <v/>
      </c>
      <c r="S43" s="68" t="str">
        <f>IF(AND('Mapa final'!$Y$19="Baja",'Mapa final'!$AA$19="Menor"),CONCATENATE("R8C",'Mapa final'!$O$19),"")</f>
        <v/>
      </c>
      <c r="T43" s="68" t="str">
        <f>IF(AND('Mapa final'!$Y$20="Baja",'Mapa final'!$AA$20="Menor"),CONCATENATE("R8C",'Mapa final'!$O$20),"")</f>
        <v/>
      </c>
      <c r="U43" s="69" t="str">
        <f>IF(AND('Mapa final'!$Y$21="Baja",'Mapa final'!$AA$21="Menor"),CONCATENATE("R8C",'Mapa final'!$O$21),"")</f>
        <v/>
      </c>
      <c r="V43" s="67" t="str">
        <f>IF(AND('Mapa final'!$Y$16="Baja",'Mapa final'!$AA$16="Moderado"),CONCATENATE("R8C",'Mapa final'!$O$16),"")</f>
        <v/>
      </c>
      <c r="W43" s="68" t="str">
        <f>IF(AND('Mapa final'!$Y$17="Baja",'Mapa final'!$AA$17="Moderado"),CONCATENATE("R8C",'Mapa final'!$O$17),"")</f>
        <v/>
      </c>
      <c r="X43" s="68" t="str">
        <f>IF(AND('Mapa final'!$Y$18="Baja",'Mapa final'!$AA$18="Moderado"),CONCATENATE("R8C",'Mapa final'!$O$18),"")</f>
        <v/>
      </c>
      <c r="Y43" s="68" t="str">
        <f>IF(AND('Mapa final'!$Y$19="Baja",'Mapa final'!$AA$19="Moderado"),CONCATENATE("R8C",'Mapa final'!$O$19),"")</f>
        <v/>
      </c>
      <c r="Z43" s="68" t="str">
        <f>IF(AND('Mapa final'!$Y$20="Baja",'Mapa final'!$AA$20="Moderado"),CONCATENATE("R8C",'Mapa final'!$O$20),"")</f>
        <v/>
      </c>
      <c r="AA43" s="69" t="str">
        <f>IF(AND('Mapa final'!$Y$21="Baja",'Mapa final'!$AA$21="Moderado"),CONCATENATE("R8C",'Mapa final'!$O$21),"")</f>
        <v/>
      </c>
      <c r="AB43" s="52" t="str">
        <f>IF(AND('Mapa final'!$Y$16="Baja",'Mapa final'!$AA$16="Mayor"),CONCATENATE("R8C",'Mapa final'!$O$16),"")</f>
        <v/>
      </c>
      <c r="AC43" s="53" t="str">
        <f>IF(AND('Mapa final'!$Y$17="Baja",'Mapa final'!$AA$17="Mayor"),CONCATENATE("R8C",'Mapa final'!$O$17),"")</f>
        <v/>
      </c>
      <c r="AD43" s="53" t="str">
        <f>IF(AND('Mapa final'!$Y$18="Baja",'Mapa final'!$AA$18="Mayor"),CONCATENATE("R8C",'Mapa final'!$O$18),"")</f>
        <v/>
      </c>
      <c r="AE43" s="53" t="str">
        <f>IF(AND('Mapa final'!$Y$19="Baja",'Mapa final'!$AA$19="Mayor"),CONCATENATE("R8C",'Mapa final'!$O$19),"")</f>
        <v/>
      </c>
      <c r="AF43" s="53" t="str">
        <f>IF(AND('Mapa final'!$Y$20="Baja",'Mapa final'!$AA$20="Mayor"),CONCATENATE("R8C",'Mapa final'!$O$20),"")</f>
        <v/>
      </c>
      <c r="AG43" s="54" t="str">
        <f>IF(AND('Mapa final'!$Y$21="Baja",'Mapa final'!$AA$21="Mayor"),CONCATENATE("R8C",'Mapa final'!$O$21),"")</f>
        <v/>
      </c>
      <c r="AH43" s="55" t="str">
        <f>IF(AND('Mapa final'!$Y$16="Baja",'Mapa final'!$AA$16="Catastrófico"),CONCATENATE("R8C",'Mapa final'!$O$16),"")</f>
        <v/>
      </c>
      <c r="AI43" s="56" t="str">
        <f>IF(AND('Mapa final'!$Y$17="Baja",'Mapa final'!$AA$17="Catastrófico"),CONCATENATE("R8C",'Mapa final'!$O$17),"")</f>
        <v/>
      </c>
      <c r="AJ43" s="56" t="str">
        <f>IF(AND('Mapa final'!$Y$18="Baja",'Mapa final'!$AA$18="Catastrófico"),CONCATENATE("R8C",'Mapa final'!$O$18),"")</f>
        <v/>
      </c>
      <c r="AK43" s="56" t="str">
        <f>IF(AND('Mapa final'!$Y$19="Baja",'Mapa final'!$AA$19="Catastrófico"),CONCATENATE("R8C",'Mapa final'!$O$19),"")</f>
        <v/>
      </c>
      <c r="AL43" s="56" t="str">
        <f>IF(AND('Mapa final'!$Y$20="Baja",'Mapa final'!$AA$20="Catastrófico"),CONCATENATE("R8C",'Mapa final'!$O$20),"")</f>
        <v/>
      </c>
      <c r="AM43" s="57" t="str">
        <f>IF(AND('Mapa final'!$Y$21="Baja",'Mapa final'!$AA$21="Catastrófico"),CONCATENATE("R8C",'Mapa final'!$O$21),"")</f>
        <v/>
      </c>
      <c r="AN43" s="83"/>
      <c r="AO43" s="364"/>
      <c r="AP43" s="365"/>
      <c r="AQ43" s="365"/>
      <c r="AR43" s="365"/>
      <c r="AS43" s="365"/>
      <c r="AT43" s="366"/>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92"/>
      <c r="C44" s="292"/>
      <c r="D44" s="293"/>
      <c r="E44" s="333"/>
      <c r="F44" s="334"/>
      <c r="G44" s="334"/>
      <c r="H44" s="334"/>
      <c r="I44" s="334"/>
      <c r="J44" s="76" t="str">
        <f>IF(AND('Mapa final'!$Y$22="Baja",'Mapa final'!$AA$22="Leve"),CONCATENATE("R9C",'Mapa final'!$O$22),"")</f>
        <v/>
      </c>
      <c r="K44" s="77" t="str">
        <f>IF(AND('Mapa final'!$Y$23="Baja",'Mapa final'!$AA$23="Leve"),CONCATENATE("R9C",'Mapa final'!$O$23),"")</f>
        <v/>
      </c>
      <c r="L44" s="77" t="str">
        <f>IF(AND('Mapa final'!$Y$24="Baja",'Mapa final'!$AA$24="Leve"),CONCATENATE("R9C",'Mapa final'!$O$24),"")</f>
        <v/>
      </c>
      <c r="M44" s="77" t="str">
        <f>IF(AND('Mapa final'!$Y$25="Baja",'Mapa final'!$AA$25="Leve"),CONCATENATE("R9C",'Mapa final'!$O$25),"")</f>
        <v/>
      </c>
      <c r="N44" s="77" t="str">
        <f>IF(AND('Mapa final'!$Y$26="Baja",'Mapa final'!$AA$26="Leve"),CONCATENATE("R9C",'Mapa final'!$O$26),"")</f>
        <v/>
      </c>
      <c r="O44" s="78" t="str">
        <f>IF(AND('Mapa final'!$Y$27="Baja",'Mapa final'!$AA$27="Leve"),CONCATENATE("R9C",'Mapa final'!$O$27),"")</f>
        <v/>
      </c>
      <c r="P44" s="67" t="str">
        <f>IF(AND('Mapa final'!$Y$22="Baja",'Mapa final'!$AA$22="Menor"),CONCATENATE("R9C",'Mapa final'!$O$22),"")</f>
        <v/>
      </c>
      <c r="Q44" s="68" t="str">
        <f>IF(AND('Mapa final'!$Y$23="Baja",'Mapa final'!$AA$23="Menor"),CONCATENATE("R9C",'Mapa final'!$O$23),"")</f>
        <v/>
      </c>
      <c r="R44" s="68" t="str">
        <f>IF(AND('Mapa final'!$Y$24="Baja",'Mapa final'!$AA$24="Menor"),CONCATENATE("R9C",'Mapa final'!$O$24),"")</f>
        <v/>
      </c>
      <c r="S44" s="68" t="str">
        <f>IF(AND('Mapa final'!$Y$25="Baja",'Mapa final'!$AA$25="Menor"),CONCATENATE("R9C",'Mapa final'!$O$25),"")</f>
        <v/>
      </c>
      <c r="T44" s="68" t="str">
        <f>IF(AND('Mapa final'!$Y$26="Baja",'Mapa final'!$AA$26="Menor"),CONCATENATE("R9C",'Mapa final'!$O$26),"")</f>
        <v/>
      </c>
      <c r="U44" s="69" t="str">
        <f>IF(AND('Mapa final'!$Y$27="Baja",'Mapa final'!$AA$27="Menor"),CONCATENATE("R9C",'Mapa final'!$O$27),"")</f>
        <v/>
      </c>
      <c r="V44" s="67" t="str">
        <f>IF(AND('Mapa final'!$Y$22="Baja",'Mapa final'!$AA$22="Moderado"),CONCATENATE("R9C",'Mapa final'!$O$22),"")</f>
        <v/>
      </c>
      <c r="W44" s="68" t="str">
        <f>IF(AND('Mapa final'!$Y$23="Baja",'Mapa final'!$AA$23="Moderado"),CONCATENATE("R9C",'Mapa final'!$O$23),"")</f>
        <v/>
      </c>
      <c r="X44" s="68" t="str">
        <f>IF(AND('Mapa final'!$Y$24="Baja",'Mapa final'!$AA$24="Moderado"),CONCATENATE("R9C",'Mapa final'!$O$24),"")</f>
        <v/>
      </c>
      <c r="Y44" s="68" t="str">
        <f>IF(AND('Mapa final'!$Y$25="Baja",'Mapa final'!$AA$25="Moderado"),CONCATENATE("R9C",'Mapa final'!$O$25),"")</f>
        <v/>
      </c>
      <c r="Z44" s="68" t="str">
        <f>IF(AND('Mapa final'!$Y$26="Baja",'Mapa final'!$AA$26="Moderado"),CONCATENATE("R9C",'Mapa final'!$O$26),"")</f>
        <v/>
      </c>
      <c r="AA44" s="69" t="str">
        <f>IF(AND('Mapa final'!$Y$27="Baja",'Mapa final'!$AA$27="Moderado"),CONCATENATE("R9C",'Mapa final'!$O$27),"")</f>
        <v/>
      </c>
      <c r="AB44" s="52" t="str">
        <f>IF(AND('Mapa final'!$Y$22="Baja",'Mapa final'!$AA$22="Mayor"),CONCATENATE("R9C",'Mapa final'!$O$22),"")</f>
        <v/>
      </c>
      <c r="AC44" s="53" t="str">
        <f>IF(AND('Mapa final'!$Y$23="Baja",'Mapa final'!$AA$23="Mayor"),CONCATENATE("R9C",'Mapa final'!$O$23),"")</f>
        <v/>
      </c>
      <c r="AD44" s="53" t="str">
        <f>IF(AND('Mapa final'!$Y$24="Baja",'Mapa final'!$AA$24="Mayor"),CONCATENATE("R9C",'Mapa final'!$O$24),"")</f>
        <v/>
      </c>
      <c r="AE44" s="53" t="str">
        <f>IF(AND('Mapa final'!$Y$25="Baja",'Mapa final'!$AA$25="Mayor"),CONCATENATE("R9C",'Mapa final'!$O$25),"")</f>
        <v/>
      </c>
      <c r="AF44" s="53" t="str">
        <f>IF(AND('Mapa final'!$Y$26="Baja",'Mapa final'!$AA$26="Mayor"),CONCATENATE("R9C",'Mapa final'!$O$26),"")</f>
        <v/>
      </c>
      <c r="AG44" s="54" t="str">
        <f>IF(AND('Mapa final'!$Y$27="Baja",'Mapa final'!$AA$27="Mayor"),CONCATENATE("R9C",'Mapa final'!$O$27),"")</f>
        <v/>
      </c>
      <c r="AH44" s="55" t="str">
        <f>IF(AND('Mapa final'!$Y$22="Baja",'Mapa final'!$AA$22="Catastrófico"),CONCATENATE("R9C",'Mapa final'!$O$22),"")</f>
        <v/>
      </c>
      <c r="AI44" s="56" t="str">
        <f>IF(AND('Mapa final'!$Y$23="Baja",'Mapa final'!$AA$23="Catastrófico"),CONCATENATE("R9C",'Mapa final'!$O$23),"")</f>
        <v/>
      </c>
      <c r="AJ44" s="56" t="str">
        <f>IF(AND('Mapa final'!$Y$24="Baja",'Mapa final'!$AA$24="Catastrófico"),CONCATENATE("R9C",'Mapa final'!$O$24),"")</f>
        <v/>
      </c>
      <c r="AK44" s="56" t="str">
        <f>IF(AND('Mapa final'!$Y$25="Baja",'Mapa final'!$AA$25="Catastrófico"),CONCATENATE("R9C",'Mapa final'!$O$25),"")</f>
        <v/>
      </c>
      <c r="AL44" s="56" t="str">
        <f>IF(AND('Mapa final'!$Y$26="Baja",'Mapa final'!$AA$26="Catastrófico"),CONCATENATE("R9C",'Mapa final'!$O$26),"")</f>
        <v/>
      </c>
      <c r="AM44" s="57" t="str">
        <f>IF(AND('Mapa final'!$Y$27="Baja",'Mapa final'!$AA$27="Catastrófico"),CONCATENATE("R9C",'Mapa final'!$O$27),"")</f>
        <v/>
      </c>
      <c r="AN44" s="83"/>
      <c r="AO44" s="364"/>
      <c r="AP44" s="365"/>
      <c r="AQ44" s="365"/>
      <c r="AR44" s="365"/>
      <c r="AS44" s="365"/>
      <c r="AT44" s="366"/>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92"/>
      <c r="C45" s="292"/>
      <c r="D45" s="293"/>
      <c r="E45" s="336"/>
      <c r="F45" s="337"/>
      <c r="G45" s="337"/>
      <c r="H45" s="337"/>
      <c r="I45" s="337"/>
      <c r="J45" s="79" t="str">
        <f>IF(AND('Mapa final'!$Y$28="Baja",'Mapa final'!$AA$28="Leve"),CONCATENATE("R10C",'Mapa final'!$O$28),"")</f>
        <v/>
      </c>
      <c r="K45" s="80" t="str">
        <f>IF(AND('Mapa final'!$Y$29="Baja",'Mapa final'!$AA$29="Leve"),CONCATENATE("R10C",'Mapa final'!$O$29),"")</f>
        <v/>
      </c>
      <c r="L45" s="80" t="str">
        <f>IF(AND('Mapa final'!$Y$30="Baja",'Mapa final'!$AA$30="Leve"),CONCATENATE("R10C",'Mapa final'!$O$30),"")</f>
        <v/>
      </c>
      <c r="M45" s="80" t="str">
        <f>IF(AND('Mapa final'!$Y$31="Baja",'Mapa final'!$AA$31="Leve"),CONCATENATE("R10C",'Mapa final'!$O$31),"")</f>
        <v/>
      </c>
      <c r="N45" s="80" t="str">
        <f>IF(AND('Mapa final'!$Y$32="Baja",'Mapa final'!$AA$32="Leve"),CONCATENATE("R10C",'Mapa final'!$O$32),"")</f>
        <v/>
      </c>
      <c r="O45" s="81" t="str">
        <f>IF(AND('Mapa final'!$Y$33="Baja",'Mapa final'!$AA$33="Leve"),CONCATENATE("R10C",'Mapa final'!$O$33),"")</f>
        <v/>
      </c>
      <c r="P45" s="67" t="str">
        <f>IF(AND('Mapa final'!$Y$28="Baja",'Mapa final'!$AA$28="Menor"),CONCATENATE("R10C",'Mapa final'!$O$28),"")</f>
        <v/>
      </c>
      <c r="Q45" s="68" t="str">
        <f>IF(AND('Mapa final'!$Y$29="Baja",'Mapa final'!$AA$29="Menor"),CONCATENATE("R10C",'Mapa final'!$O$29),"")</f>
        <v/>
      </c>
      <c r="R45" s="68" t="str">
        <f>IF(AND('Mapa final'!$Y$30="Baja",'Mapa final'!$AA$30="Menor"),CONCATENATE("R10C",'Mapa final'!$O$30),"")</f>
        <v/>
      </c>
      <c r="S45" s="68" t="str">
        <f>IF(AND('Mapa final'!$Y$31="Baja",'Mapa final'!$AA$31="Menor"),CONCATENATE("R10C",'Mapa final'!$O$31),"")</f>
        <v/>
      </c>
      <c r="T45" s="68" t="str">
        <f>IF(AND('Mapa final'!$Y$32="Baja",'Mapa final'!$AA$32="Menor"),CONCATENATE("R10C",'Mapa final'!$O$32),"")</f>
        <v/>
      </c>
      <c r="U45" s="69" t="str">
        <f>IF(AND('Mapa final'!$Y$33="Baja",'Mapa final'!$AA$33="Menor"),CONCATENATE("R10C",'Mapa final'!$O$33),"")</f>
        <v/>
      </c>
      <c r="V45" s="70" t="str">
        <f>IF(AND('Mapa final'!$Y$28="Baja",'Mapa final'!$AA$28="Moderado"),CONCATENATE("R10C",'Mapa final'!$O$28),"")</f>
        <v/>
      </c>
      <c r="W45" s="71" t="str">
        <f>IF(AND('Mapa final'!$Y$29="Baja",'Mapa final'!$AA$29="Moderado"),CONCATENATE("R10C",'Mapa final'!$O$29),"")</f>
        <v/>
      </c>
      <c r="X45" s="71" t="str">
        <f>IF(AND('Mapa final'!$Y$30="Baja",'Mapa final'!$AA$30="Moderado"),CONCATENATE("R10C",'Mapa final'!$O$30),"")</f>
        <v/>
      </c>
      <c r="Y45" s="71" t="str">
        <f>IF(AND('Mapa final'!$Y$31="Baja",'Mapa final'!$AA$31="Moderado"),CONCATENATE("R10C",'Mapa final'!$O$31),"")</f>
        <v/>
      </c>
      <c r="Z45" s="71" t="str">
        <f>IF(AND('Mapa final'!$Y$32="Baja",'Mapa final'!$AA$32="Moderado"),CONCATENATE("R10C",'Mapa final'!$O$32),"")</f>
        <v/>
      </c>
      <c r="AA45" s="72" t="str">
        <f>IF(AND('Mapa final'!$Y$33="Baja",'Mapa final'!$AA$33="Moderado"),CONCATENATE("R10C",'Mapa final'!$O$33),"")</f>
        <v/>
      </c>
      <c r="AB45" s="58" t="str">
        <f>IF(AND('Mapa final'!$Y$28="Baja",'Mapa final'!$AA$28="Mayor"),CONCATENATE("R10C",'Mapa final'!$O$28),"")</f>
        <v/>
      </c>
      <c r="AC45" s="59" t="str">
        <f>IF(AND('Mapa final'!$Y$29="Baja",'Mapa final'!$AA$29="Mayor"),CONCATENATE("R10C",'Mapa final'!$O$29),"")</f>
        <v/>
      </c>
      <c r="AD45" s="59" t="str">
        <f>IF(AND('Mapa final'!$Y$30="Baja",'Mapa final'!$AA$30="Mayor"),CONCATENATE("R10C",'Mapa final'!$O$30),"")</f>
        <v/>
      </c>
      <c r="AE45" s="59" t="str">
        <f>IF(AND('Mapa final'!$Y$31="Baja",'Mapa final'!$AA$31="Mayor"),CONCATENATE("R10C",'Mapa final'!$O$31),"")</f>
        <v/>
      </c>
      <c r="AF45" s="59" t="str">
        <f>IF(AND('Mapa final'!$Y$32="Baja",'Mapa final'!$AA$32="Mayor"),CONCATENATE("R10C",'Mapa final'!$O$32),"")</f>
        <v/>
      </c>
      <c r="AG45" s="60" t="str">
        <f>IF(AND('Mapa final'!$Y$33="Baja",'Mapa final'!$AA$33="Mayor"),CONCATENATE("R10C",'Mapa final'!$O$33),"")</f>
        <v/>
      </c>
      <c r="AH45" s="61" t="str">
        <f>IF(AND('Mapa final'!$Y$28="Baja",'Mapa final'!$AA$28="Catastrófico"),CONCATENATE("R10C",'Mapa final'!$O$28),"")</f>
        <v/>
      </c>
      <c r="AI45" s="62" t="str">
        <f>IF(AND('Mapa final'!$Y$29="Baja",'Mapa final'!$AA$29="Catastrófico"),CONCATENATE("R10C",'Mapa final'!$O$29),"")</f>
        <v/>
      </c>
      <c r="AJ45" s="62" t="str">
        <f>IF(AND('Mapa final'!$Y$30="Baja",'Mapa final'!$AA$30="Catastrófico"),CONCATENATE("R10C",'Mapa final'!$O$30),"")</f>
        <v/>
      </c>
      <c r="AK45" s="62" t="str">
        <f>IF(AND('Mapa final'!$Y$31="Baja",'Mapa final'!$AA$31="Catastrófico"),CONCATENATE("R10C",'Mapa final'!$O$31),"")</f>
        <v/>
      </c>
      <c r="AL45" s="62" t="str">
        <f>IF(AND('Mapa final'!$Y$32="Baja",'Mapa final'!$AA$32="Catastrófico"),CONCATENATE("R10C",'Mapa final'!$O$32),"")</f>
        <v/>
      </c>
      <c r="AM45" s="63" t="str">
        <f>IF(AND('Mapa final'!$Y$33="Baja",'Mapa final'!$AA$33="Catastrófico"),CONCATENATE("R10C",'Mapa final'!$O$33),"")</f>
        <v/>
      </c>
      <c r="AN45" s="83"/>
      <c r="AO45" s="367"/>
      <c r="AP45" s="368"/>
      <c r="AQ45" s="368"/>
      <c r="AR45" s="368"/>
      <c r="AS45" s="368"/>
      <c r="AT45" s="369"/>
    </row>
    <row r="46" spans="1:80" ht="46.5" customHeight="1" x14ac:dyDescent="0.35">
      <c r="A46" s="83"/>
      <c r="B46" s="292"/>
      <c r="C46" s="292"/>
      <c r="D46" s="293"/>
      <c r="E46" s="330" t="s">
        <v>113</v>
      </c>
      <c r="F46" s="331"/>
      <c r="G46" s="331"/>
      <c r="H46" s="331"/>
      <c r="I46" s="332"/>
      <c r="J46" s="73" t="str">
        <f>IF(AND('Mapa final'!$Y$10="Muy Baja",'Mapa final'!$AA$10="Leve"),CONCATENATE("R1C",'Mapa final'!$O$10),"")</f>
        <v/>
      </c>
      <c r="K46" s="74" t="e">
        <f>IF(AND('Mapa final'!#REF!="Muy Baja",'Mapa final'!#REF!="Leve"),CONCATENATE("R1C",'Mapa final'!#REF!),"")</f>
        <v>#REF!</v>
      </c>
      <c r="L46" s="74" t="e">
        <f>IF(AND('Mapa final'!#REF!="Muy Baja",'Mapa final'!#REF!="Leve"),CONCATENATE("R1C",'Mapa final'!#REF!),"")</f>
        <v>#REF!</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str">
        <f>IF(AND('Mapa final'!$Y$10="Muy Baja",'Mapa final'!$AA$10="Menor"),CONCATENATE("R1C",'Mapa final'!$O$10),"")</f>
        <v/>
      </c>
      <c r="Q46" s="74" t="e">
        <f>IF(AND('Mapa final'!#REF!="Muy Baja",'Mapa final'!#REF!="Menor"),CONCATENATE("R1C",'Mapa final'!#REF!),"")</f>
        <v>#REF!</v>
      </c>
      <c r="R46" s="74" t="e">
        <f>IF(AND('Mapa final'!#REF!="Muy Baja",'Mapa final'!#REF!="Menor"),CONCATENATE("R1C",'Mapa final'!#REF!),"")</f>
        <v>#REF!</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str">
        <f>IF(AND('Mapa final'!$Y$10="Muy Baja",'Mapa final'!$AA$10="Moderado"),CONCATENATE("R1C",'Mapa final'!$O$10),"")</f>
        <v/>
      </c>
      <c r="W46" s="82" t="e">
        <f>IF(AND('Mapa final'!#REF!="Muy Baja",'Mapa final'!#REF!="Moderado"),CONCATENATE("R1C",'Mapa final'!#REF!),"")</f>
        <v>#REF!</v>
      </c>
      <c r="X46" s="65" t="e">
        <f>IF(AND('Mapa final'!#REF!="Muy Baja",'Mapa final'!#REF!="Moderado"),CONCATENATE("R1C",'Mapa final'!#REF!),"")</f>
        <v>#REF!</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str">
        <f>IF(AND('Mapa final'!$Y$10="Muy Baja",'Mapa final'!$AA$10="Mayor"),CONCATENATE("R1C",'Mapa final'!$O$10),"")</f>
        <v/>
      </c>
      <c r="AC46" s="47" t="e">
        <f>IF(AND('Mapa final'!#REF!="Muy Baja",'Mapa final'!#REF!="Mayor"),CONCATENATE("R1C",'Mapa final'!#REF!),"")</f>
        <v>#REF!</v>
      </c>
      <c r="AD46" s="47" t="e">
        <f>IF(AND('Mapa final'!#REF!="Muy Baja",'Mapa final'!#REF!="Mayor"),CONCATENATE("R1C",'Mapa final'!#REF!),"")</f>
        <v>#REF!</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IF(AND('Mapa final'!$Y$10="Muy Baja",'Mapa final'!$AA$10="Catastrófico"),CONCATENATE("R1C",'Mapa final'!$O$10),"")</f>
        <v/>
      </c>
      <c r="AI46" s="50" t="e">
        <f>IF(AND('Mapa final'!#REF!="Muy Baja",'Mapa final'!#REF!="Catastrófico"),CONCATENATE("R1C",'Mapa final'!#REF!),"")</f>
        <v>#REF!</v>
      </c>
      <c r="AJ46" s="50" t="e">
        <f>IF(AND('Mapa final'!#REF!="Muy Baja",'Mapa final'!#REF!="Catastrófico"),CONCATENATE("R1C",'Mapa final'!#REF!),"")</f>
        <v>#REF!</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92"/>
      <c r="C47" s="292"/>
      <c r="D47" s="293"/>
      <c r="E47" s="349"/>
      <c r="F47" s="334"/>
      <c r="G47" s="334"/>
      <c r="H47" s="334"/>
      <c r="I47" s="335"/>
      <c r="J47" s="76" t="e">
        <f>IF(AND('Mapa final'!#REF!="Muy Baja",'Mapa final'!#REF!="Leve"),CONCATENATE("R2C",'Mapa final'!#REF!),"")</f>
        <v>#REF!</v>
      </c>
      <c r="K47" s="77" t="e">
        <f>IF(AND('Mapa final'!#REF!="Muy Baja",'Mapa final'!#REF!="Leve"),CONCATENATE("R2C",'Mapa final'!#REF!),"")</f>
        <v>#REF!</v>
      </c>
      <c r="L47" s="77" t="e">
        <f>IF(AND('Mapa final'!#REF!="Muy Baja",'Mapa final'!#REF!="Leve"),CONCATENATE("R2C",'Mapa final'!#REF!),"")</f>
        <v>#REF!</v>
      </c>
      <c r="M47" s="77" t="e">
        <f>IF(AND('Mapa final'!#REF!="Muy Baja",'Mapa final'!#REF!="Leve"),CONCATENATE("R2C",'Mapa final'!#REF!),"")</f>
        <v>#REF!</v>
      </c>
      <c r="N47" s="77" t="e">
        <f>IF(AND('Mapa final'!#REF!="Muy Baja",'Mapa final'!#REF!="Leve"),CONCATENATE("R2C",'Mapa final'!#REF!),"")</f>
        <v>#REF!</v>
      </c>
      <c r="O47" s="78" t="e">
        <f>IF(AND('Mapa final'!#REF!="Muy Baja",'Mapa final'!#REF!="Leve"),CONCATENATE("R2C",'Mapa final'!#REF!),"")</f>
        <v>#REF!</v>
      </c>
      <c r="P47" s="76" t="e">
        <f>IF(AND('Mapa final'!#REF!="Muy Baja",'Mapa final'!#REF!="Menor"),CONCATENATE("R2C",'Mapa final'!#REF!),"")</f>
        <v>#REF!</v>
      </c>
      <c r="Q47" s="77" t="e">
        <f>IF(AND('Mapa final'!#REF!="Muy Baja",'Mapa final'!#REF!="Menor"),CONCATENATE("R2C",'Mapa final'!#REF!),"")</f>
        <v>#REF!</v>
      </c>
      <c r="R47" s="77" t="e">
        <f>IF(AND('Mapa final'!#REF!="Muy Baja",'Mapa final'!#REF!="Menor"),CONCATENATE("R2C",'Mapa final'!#REF!),"")</f>
        <v>#REF!</v>
      </c>
      <c r="S47" s="77" t="e">
        <f>IF(AND('Mapa final'!#REF!="Muy Baja",'Mapa final'!#REF!="Menor"),CONCATENATE("R2C",'Mapa final'!#REF!),"")</f>
        <v>#REF!</v>
      </c>
      <c r="T47" s="77" t="e">
        <f>IF(AND('Mapa final'!#REF!="Muy Baja",'Mapa final'!#REF!="Menor"),CONCATENATE("R2C",'Mapa final'!#REF!),"")</f>
        <v>#REF!</v>
      </c>
      <c r="U47" s="78" t="e">
        <f>IF(AND('Mapa final'!#REF!="Muy Baja",'Mapa final'!#REF!="Menor"),CONCATENATE("R2C",'Mapa final'!#REF!),"")</f>
        <v>#REF!</v>
      </c>
      <c r="V47" s="67" t="e">
        <f>IF(AND('Mapa final'!#REF!="Muy Baja",'Mapa final'!#REF!="Moderado"),CONCATENATE("R2C",'Mapa final'!#REF!),"")</f>
        <v>#REF!</v>
      </c>
      <c r="W47" s="68" t="e">
        <f>IF(AND('Mapa final'!#REF!="Muy Baja",'Mapa final'!#REF!="Moderado"),CONCATENATE("R2C",'Mapa final'!#REF!),"")</f>
        <v>#REF!</v>
      </c>
      <c r="X47" s="68" t="e">
        <f>IF(AND('Mapa final'!#REF!="Muy Baja",'Mapa final'!#REF!="Moderado"),CONCATENATE("R2C",'Mapa final'!#REF!),"")</f>
        <v>#REF!</v>
      </c>
      <c r="Y47" s="68" t="e">
        <f>IF(AND('Mapa final'!#REF!="Muy Baja",'Mapa final'!#REF!="Moderado"),CONCATENATE("R2C",'Mapa final'!#REF!),"")</f>
        <v>#REF!</v>
      </c>
      <c r="Z47" s="68" t="e">
        <f>IF(AND('Mapa final'!#REF!="Muy Baja",'Mapa final'!#REF!="Moderado"),CONCATENATE("R2C",'Mapa final'!#REF!),"")</f>
        <v>#REF!</v>
      </c>
      <c r="AA47" s="69" t="e">
        <f>IF(AND('Mapa final'!#REF!="Muy Baja",'Mapa final'!#REF!="Moderado"),CONCATENATE("R2C",'Mapa final'!#REF!),"")</f>
        <v>#REF!</v>
      </c>
      <c r="AB47" s="52" t="e">
        <f>IF(AND('Mapa final'!#REF!="Muy Baja",'Mapa final'!#REF!="Mayor"),CONCATENATE("R2C",'Mapa final'!#REF!),"")</f>
        <v>#REF!</v>
      </c>
      <c r="AC47" s="53" t="e">
        <f>IF(AND('Mapa final'!#REF!="Muy Baja",'Mapa final'!#REF!="Mayor"),CONCATENATE("R2C",'Mapa final'!#REF!),"")</f>
        <v>#REF!</v>
      </c>
      <c r="AD47" s="53" t="e">
        <f>IF(AND('Mapa final'!#REF!="Muy Baja",'Mapa final'!#REF!="Mayor"),CONCATENATE("R2C",'Mapa final'!#REF!),"")</f>
        <v>#REF!</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e">
        <f>IF(AND('Mapa final'!#REF!="Muy Baja",'Mapa final'!#REF!="Catastrófico"),CONCATENATE("R2C",'Mapa final'!#REF!),"")</f>
        <v>#REF!</v>
      </c>
      <c r="AI47" s="56" t="e">
        <f>IF(AND('Mapa final'!#REF!="Muy Baja",'Mapa final'!#REF!="Catastrófico"),CONCATENATE("R2C",'Mapa final'!#REF!),"")</f>
        <v>#REF!</v>
      </c>
      <c r="AJ47" s="56" t="e">
        <f>IF(AND('Mapa final'!#REF!="Muy Baja",'Mapa final'!#REF!="Catastrófico"),CONCATENATE("R2C",'Mapa final'!#REF!),"")</f>
        <v>#REF!</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92"/>
      <c r="C48" s="292"/>
      <c r="D48" s="293"/>
      <c r="E48" s="349"/>
      <c r="F48" s="334"/>
      <c r="G48" s="334"/>
      <c r="H48" s="334"/>
      <c r="I48" s="335"/>
      <c r="J48" s="76" t="str">
        <f>IF(AND('Mapa final'!$Y$11="Muy Baja",'Mapa final'!$AA$11="Leve"),CONCATENATE("R3C",'Mapa final'!$O$11),"")</f>
        <v/>
      </c>
      <c r="K48" s="77" t="e">
        <f>IF(AND('Mapa final'!#REF!="Muy Baja",'Mapa final'!#REF!="Leve"),CONCATENATE("R3C",'Mapa final'!#REF!),"")</f>
        <v>#REF!</v>
      </c>
      <c r="L48" s="77" t="e">
        <f>IF(AND('Mapa final'!#REF!="Muy Baja",'Mapa final'!#REF!="Leve"),CONCATENATE("R3C",'Mapa final'!#REF!),"")</f>
        <v>#REF!</v>
      </c>
      <c r="M48" s="77" t="e">
        <f>IF(AND('Mapa final'!#REF!="Muy Baja",'Mapa final'!#REF!="Leve"),CONCATENATE("R3C",'Mapa final'!#REF!),"")</f>
        <v>#REF!</v>
      </c>
      <c r="N48" s="77" t="e">
        <f>IF(AND('Mapa final'!#REF!="Muy Baja",'Mapa final'!#REF!="Leve"),CONCATENATE("R3C",'Mapa final'!#REF!),"")</f>
        <v>#REF!</v>
      </c>
      <c r="O48" s="78" t="e">
        <f>IF(AND('Mapa final'!#REF!="Muy Baja",'Mapa final'!#REF!="Leve"),CONCATENATE("R3C",'Mapa final'!#REF!),"")</f>
        <v>#REF!</v>
      </c>
      <c r="P48" s="76" t="str">
        <f>IF(AND('Mapa final'!$Y$11="Muy Baja",'Mapa final'!$AA$11="Menor"),CONCATENATE("R3C",'Mapa final'!$O$11),"")</f>
        <v/>
      </c>
      <c r="Q48" s="77" t="e">
        <f>IF(AND('Mapa final'!#REF!="Muy Baja",'Mapa final'!#REF!="Menor"),CONCATENATE("R3C",'Mapa final'!#REF!),"")</f>
        <v>#REF!</v>
      </c>
      <c r="R48" s="77" t="e">
        <f>IF(AND('Mapa final'!#REF!="Muy Baja",'Mapa final'!#REF!="Menor"),CONCATENATE("R3C",'Mapa final'!#REF!),"")</f>
        <v>#REF!</v>
      </c>
      <c r="S48" s="77" t="e">
        <f>IF(AND('Mapa final'!#REF!="Muy Baja",'Mapa final'!#REF!="Menor"),CONCATENATE("R3C",'Mapa final'!#REF!),"")</f>
        <v>#REF!</v>
      </c>
      <c r="T48" s="77" t="e">
        <f>IF(AND('Mapa final'!#REF!="Muy Baja",'Mapa final'!#REF!="Menor"),CONCATENATE("R3C",'Mapa final'!#REF!),"")</f>
        <v>#REF!</v>
      </c>
      <c r="U48" s="78" t="e">
        <f>IF(AND('Mapa final'!#REF!="Muy Baja",'Mapa final'!#REF!="Menor"),CONCATENATE("R3C",'Mapa final'!#REF!),"")</f>
        <v>#REF!</v>
      </c>
      <c r="V48" s="67" t="str">
        <f>IF(AND('Mapa final'!$Y$11="Muy Baja",'Mapa final'!$AA$11="Moderado"),CONCATENATE("R3C",'Mapa final'!$O$11),"")</f>
        <v/>
      </c>
      <c r="W48" s="68" t="e">
        <f>IF(AND('Mapa final'!#REF!="Muy Baja",'Mapa final'!#REF!="Moderado"),CONCATENATE("R3C",'Mapa final'!#REF!),"")</f>
        <v>#REF!</v>
      </c>
      <c r="X48" s="68" t="e">
        <f>IF(AND('Mapa final'!#REF!="Muy Baja",'Mapa final'!#REF!="Moderado"),CONCATENATE("R3C",'Mapa final'!#REF!),"")</f>
        <v>#REF!</v>
      </c>
      <c r="Y48" s="68" t="e">
        <f>IF(AND('Mapa final'!#REF!="Muy Baja",'Mapa final'!#REF!="Moderado"),CONCATENATE("R3C",'Mapa final'!#REF!),"")</f>
        <v>#REF!</v>
      </c>
      <c r="Z48" s="68" t="e">
        <f>IF(AND('Mapa final'!#REF!="Muy Baja",'Mapa final'!#REF!="Moderado"),CONCATENATE("R3C",'Mapa final'!#REF!),"")</f>
        <v>#REF!</v>
      </c>
      <c r="AA48" s="69" t="e">
        <f>IF(AND('Mapa final'!#REF!="Muy Baja",'Mapa final'!#REF!="Moderado"),CONCATENATE("R3C",'Mapa final'!#REF!),"")</f>
        <v>#REF!</v>
      </c>
      <c r="AB48" s="52" t="str">
        <f>IF(AND('Mapa final'!$Y$11="Muy Baja",'Mapa final'!$AA$11="Mayor"),CONCATENATE("R3C",'Mapa final'!$O$11),"")</f>
        <v/>
      </c>
      <c r="AC48" s="53" t="e">
        <f>IF(AND('Mapa final'!#REF!="Muy Baja",'Mapa final'!#REF!="Mayor"),CONCATENATE("R3C",'Mapa final'!#REF!),"")</f>
        <v>#REF!</v>
      </c>
      <c r="AD48" s="53" t="e">
        <f>IF(AND('Mapa final'!#REF!="Muy Baja",'Mapa final'!#REF!="Mayor"),CONCATENATE("R3C",'Mapa final'!#REF!),"")</f>
        <v>#REF!</v>
      </c>
      <c r="AE48" s="53" t="e">
        <f>IF(AND('Mapa final'!#REF!="Muy Baja",'Mapa final'!#REF!="Mayor"),CONCATENATE("R3C",'Mapa final'!#REF!),"")</f>
        <v>#REF!</v>
      </c>
      <c r="AF48" s="53" t="e">
        <f>IF(AND('Mapa final'!#REF!="Muy Baja",'Mapa final'!#REF!="Mayor"),CONCATENATE("R3C",'Mapa final'!#REF!),"")</f>
        <v>#REF!</v>
      </c>
      <c r="AG48" s="54" t="e">
        <f>IF(AND('Mapa final'!#REF!="Muy Baja",'Mapa final'!#REF!="Mayor"),CONCATENATE("R3C",'Mapa final'!#REF!),"")</f>
        <v>#REF!</v>
      </c>
      <c r="AH48" s="55" t="str">
        <f>IF(AND('Mapa final'!$Y$11="Muy Baja",'Mapa final'!$AA$11="Catastrófico"),CONCATENATE("R3C",'Mapa final'!$O$11),"")</f>
        <v/>
      </c>
      <c r="AI48" s="56" t="e">
        <f>IF(AND('Mapa final'!#REF!="Muy Baja",'Mapa final'!#REF!="Catastrófico"),CONCATENATE("R3C",'Mapa final'!#REF!),"")</f>
        <v>#REF!</v>
      </c>
      <c r="AJ48" s="56" t="e">
        <f>IF(AND('Mapa final'!#REF!="Muy Baja",'Mapa final'!#REF!="Catastrófico"),CONCATENATE("R3C",'Mapa final'!#REF!),"")</f>
        <v>#REF!</v>
      </c>
      <c r="AK48" s="56" t="e">
        <f>IF(AND('Mapa final'!#REF!="Muy Baja",'Mapa final'!#REF!="Catastrófico"),CONCATENATE("R3C",'Mapa final'!#REF!),"")</f>
        <v>#REF!</v>
      </c>
      <c r="AL48" s="56" t="e">
        <f>IF(AND('Mapa final'!#REF!="Muy Baja",'Mapa final'!#REF!="Catastrófico"),CONCATENATE("R3C",'Mapa final'!#REF!),"")</f>
        <v>#REF!</v>
      </c>
      <c r="AM48" s="57" t="e">
        <f>IF(AND('Mapa final'!#REF!="Muy Baja",'Mapa final'!#REF!="Catastrófico"),CONCATENATE("R3C",'Mapa final'!#REF!),"")</f>
        <v>#REF!</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92"/>
      <c r="C49" s="292"/>
      <c r="D49" s="293"/>
      <c r="E49" s="333"/>
      <c r="F49" s="334"/>
      <c r="G49" s="334"/>
      <c r="H49" s="334"/>
      <c r="I49" s="335"/>
      <c r="J49" s="76" t="str">
        <f>IF(AND('Mapa final'!$Y$12="Muy Baja",'Mapa final'!$AA$12="Leve"),CONCATENATE("R4C",'Mapa final'!$O$12),"")</f>
        <v/>
      </c>
      <c r="K49" s="77" t="e">
        <f>IF(AND('Mapa final'!#REF!="Muy Baja",'Mapa final'!#REF!="Leve"),CONCATENATE("R4C",'Mapa final'!#REF!),"")</f>
        <v>#REF!</v>
      </c>
      <c r="L49" s="77" t="e">
        <f>IF(AND('Mapa final'!#REF!="Muy Baja",'Mapa final'!#REF!="Leve"),CONCATENATE("R4C",'Mapa final'!#REF!),"")</f>
        <v>#REF!</v>
      </c>
      <c r="M49" s="77" t="e">
        <f>IF(AND('Mapa final'!#REF!="Muy Baja",'Mapa final'!#REF!="Leve"),CONCATENATE("R4C",'Mapa final'!#REF!),"")</f>
        <v>#REF!</v>
      </c>
      <c r="N49" s="77" t="e">
        <f>IF(AND('Mapa final'!#REF!="Muy Baja",'Mapa final'!#REF!="Leve"),CONCATENATE("R4C",'Mapa final'!#REF!),"")</f>
        <v>#REF!</v>
      </c>
      <c r="O49" s="78" t="e">
        <f>IF(AND('Mapa final'!#REF!="Muy Baja",'Mapa final'!#REF!="Leve"),CONCATENATE("R4C",'Mapa final'!#REF!),"")</f>
        <v>#REF!</v>
      </c>
      <c r="P49" s="76" t="str">
        <f>IF(AND('Mapa final'!$Y$12="Muy Baja",'Mapa final'!$AA$12="Menor"),CONCATENATE("R4C",'Mapa final'!$O$12),"")</f>
        <v/>
      </c>
      <c r="Q49" s="77" t="e">
        <f>IF(AND('Mapa final'!#REF!="Muy Baja",'Mapa final'!#REF!="Menor"),CONCATENATE("R4C",'Mapa final'!#REF!),"")</f>
        <v>#REF!</v>
      </c>
      <c r="R49" s="77" t="e">
        <f>IF(AND('Mapa final'!#REF!="Muy Baja",'Mapa final'!#REF!="Menor"),CONCATENATE("R4C",'Mapa final'!#REF!),"")</f>
        <v>#REF!</v>
      </c>
      <c r="S49" s="77" t="e">
        <f>IF(AND('Mapa final'!#REF!="Muy Baja",'Mapa final'!#REF!="Menor"),CONCATENATE("R4C",'Mapa final'!#REF!),"")</f>
        <v>#REF!</v>
      </c>
      <c r="T49" s="77" t="e">
        <f>IF(AND('Mapa final'!#REF!="Muy Baja",'Mapa final'!#REF!="Menor"),CONCATENATE("R4C",'Mapa final'!#REF!),"")</f>
        <v>#REF!</v>
      </c>
      <c r="U49" s="78" t="e">
        <f>IF(AND('Mapa final'!#REF!="Muy Baja",'Mapa final'!#REF!="Menor"),CONCATENATE("R4C",'Mapa final'!#REF!),"")</f>
        <v>#REF!</v>
      </c>
      <c r="V49" s="67" t="str">
        <f>IF(AND('Mapa final'!$Y$12="Muy Baja",'Mapa final'!$AA$12="Moderado"),CONCATENATE("R4C",'Mapa final'!$O$12),"")</f>
        <v/>
      </c>
      <c r="W49" s="68" t="e">
        <f>IF(AND('Mapa final'!#REF!="Muy Baja",'Mapa final'!#REF!="Moderado"),CONCATENATE("R4C",'Mapa final'!#REF!),"")</f>
        <v>#REF!</v>
      </c>
      <c r="X49" s="68" t="e">
        <f>IF(AND('Mapa final'!#REF!="Muy Baja",'Mapa final'!#REF!="Moderado"),CONCATENATE("R4C",'Mapa final'!#REF!),"")</f>
        <v>#REF!</v>
      </c>
      <c r="Y49" s="68" t="e">
        <f>IF(AND('Mapa final'!#REF!="Muy Baja",'Mapa final'!#REF!="Moderado"),CONCATENATE("R4C",'Mapa final'!#REF!),"")</f>
        <v>#REF!</v>
      </c>
      <c r="Z49" s="68" t="e">
        <f>IF(AND('Mapa final'!#REF!="Muy Baja",'Mapa final'!#REF!="Moderado"),CONCATENATE("R4C",'Mapa final'!#REF!),"")</f>
        <v>#REF!</v>
      </c>
      <c r="AA49" s="69" t="e">
        <f>IF(AND('Mapa final'!#REF!="Muy Baja",'Mapa final'!#REF!="Moderado"),CONCATENATE("R4C",'Mapa final'!#REF!),"")</f>
        <v>#REF!</v>
      </c>
      <c r="AB49" s="52" t="str">
        <f>IF(AND('Mapa final'!$Y$12="Muy Baja",'Mapa final'!$AA$12="Mayor"),CONCATENATE("R4C",'Mapa final'!$O$12),"")</f>
        <v/>
      </c>
      <c r="AC49" s="53" t="e">
        <f>IF(AND('Mapa final'!#REF!="Muy Baja",'Mapa final'!#REF!="Mayor"),CONCATENATE("R4C",'Mapa final'!#REF!),"")</f>
        <v>#REF!</v>
      </c>
      <c r="AD49" s="53" t="e">
        <f>IF(AND('Mapa final'!#REF!="Muy Baja",'Mapa final'!#REF!="Mayor"),CONCATENATE("R4C",'Mapa final'!#REF!),"")</f>
        <v>#REF!</v>
      </c>
      <c r="AE49" s="53" t="e">
        <f>IF(AND('Mapa final'!#REF!="Muy Baja",'Mapa final'!#REF!="Mayor"),CONCATENATE("R4C",'Mapa final'!#REF!),"")</f>
        <v>#REF!</v>
      </c>
      <c r="AF49" s="53" t="e">
        <f>IF(AND('Mapa final'!#REF!="Muy Baja",'Mapa final'!#REF!="Mayor"),CONCATENATE("R4C",'Mapa final'!#REF!),"")</f>
        <v>#REF!</v>
      </c>
      <c r="AG49" s="54" t="e">
        <f>IF(AND('Mapa final'!#REF!="Muy Baja",'Mapa final'!#REF!="Mayor"),CONCATENATE("R4C",'Mapa final'!#REF!),"")</f>
        <v>#REF!</v>
      </c>
      <c r="AH49" s="55" t="str">
        <f>IF(AND('Mapa final'!$Y$12="Muy Baja",'Mapa final'!$AA$12="Catastrófico"),CONCATENATE("R4C",'Mapa final'!$O$12),"")</f>
        <v/>
      </c>
      <c r="AI49" s="56" t="e">
        <f>IF(AND('Mapa final'!#REF!="Muy Baja",'Mapa final'!#REF!="Catastrófico"),CONCATENATE("R4C",'Mapa final'!#REF!),"")</f>
        <v>#REF!</v>
      </c>
      <c r="AJ49" s="56" t="e">
        <f>IF(AND('Mapa final'!#REF!="Muy Baja",'Mapa final'!#REF!="Catastrófico"),CONCATENATE("R4C",'Mapa final'!#REF!),"")</f>
        <v>#REF!</v>
      </c>
      <c r="AK49" s="56" t="e">
        <f>IF(AND('Mapa final'!#REF!="Muy Baja",'Mapa final'!#REF!="Catastrófico"),CONCATENATE("R4C",'Mapa final'!#REF!),"")</f>
        <v>#REF!</v>
      </c>
      <c r="AL49" s="56" t="e">
        <f>IF(AND('Mapa final'!#REF!="Muy Baja",'Mapa final'!#REF!="Catastrófico"),CONCATENATE("R4C",'Mapa final'!#REF!),"")</f>
        <v>#REF!</v>
      </c>
      <c r="AM49" s="57" t="e">
        <f>IF(AND('Mapa final'!#REF!="Muy Baja",'Mapa final'!#REF!="Catastrófico"),CONCATENATE("R4C",'Mapa final'!#REF!),"")</f>
        <v>#REF!</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92"/>
      <c r="C50" s="292"/>
      <c r="D50" s="293"/>
      <c r="E50" s="333"/>
      <c r="F50" s="334"/>
      <c r="G50" s="334"/>
      <c r="H50" s="334"/>
      <c r="I50" s="335"/>
      <c r="J50" s="76" t="str">
        <f>IF(AND('Mapa final'!$Y$13="Muy Baja",'Mapa final'!$AA$13="Leve"),CONCATENATE("R5C",'Mapa final'!$O$13),"")</f>
        <v/>
      </c>
      <c r="K50" s="77" t="e">
        <f>IF(AND('Mapa final'!#REF!="Muy Baja",'Mapa final'!#REF!="Leve"),CONCATENATE("R5C",'Mapa final'!#REF!),"")</f>
        <v>#REF!</v>
      </c>
      <c r="L50" s="77" t="e">
        <f>IF(AND('Mapa final'!#REF!="Muy Baja",'Mapa final'!#REF!="Leve"),CONCATENATE("R5C",'Mapa final'!#REF!),"")</f>
        <v>#REF!</v>
      </c>
      <c r="M50" s="77" t="e">
        <f>IF(AND('Mapa final'!#REF!="Muy Baja",'Mapa final'!#REF!="Leve"),CONCATENATE("R5C",'Mapa final'!#REF!),"")</f>
        <v>#REF!</v>
      </c>
      <c r="N50" s="77" t="e">
        <f>IF(AND('Mapa final'!#REF!="Muy Baja",'Mapa final'!#REF!="Leve"),CONCATENATE("R5C",'Mapa final'!#REF!),"")</f>
        <v>#REF!</v>
      </c>
      <c r="O50" s="78" t="e">
        <f>IF(AND('Mapa final'!#REF!="Muy Baja",'Mapa final'!#REF!="Leve"),CONCATENATE("R5C",'Mapa final'!#REF!),"")</f>
        <v>#REF!</v>
      </c>
      <c r="P50" s="76" t="str">
        <f>IF(AND('Mapa final'!$Y$13="Muy Baja",'Mapa final'!$AA$13="Menor"),CONCATENATE("R5C",'Mapa final'!$O$13),"")</f>
        <v/>
      </c>
      <c r="Q50" s="77" t="e">
        <f>IF(AND('Mapa final'!#REF!="Muy Baja",'Mapa final'!#REF!="Menor"),CONCATENATE("R5C",'Mapa final'!#REF!),"")</f>
        <v>#REF!</v>
      </c>
      <c r="R50" s="77" t="e">
        <f>IF(AND('Mapa final'!#REF!="Muy Baja",'Mapa final'!#REF!="Menor"),CONCATENATE("R5C",'Mapa final'!#REF!),"")</f>
        <v>#REF!</v>
      </c>
      <c r="S50" s="77" t="e">
        <f>IF(AND('Mapa final'!#REF!="Muy Baja",'Mapa final'!#REF!="Menor"),CONCATENATE("R5C",'Mapa final'!#REF!),"")</f>
        <v>#REF!</v>
      </c>
      <c r="T50" s="77" t="e">
        <f>IF(AND('Mapa final'!#REF!="Muy Baja",'Mapa final'!#REF!="Menor"),CONCATENATE("R5C",'Mapa final'!#REF!),"")</f>
        <v>#REF!</v>
      </c>
      <c r="U50" s="78" t="e">
        <f>IF(AND('Mapa final'!#REF!="Muy Baja",'Mapa final'!#REF!="Menor"),CONCATENATE("R5C",'Mapa final'!#REF!),"")</f>
        <v>#REF!</v>
      </c>
      <c r="V50" s="67" t="str">
        <f>IF(AND('Mapa final'!$Y$13="Muy Baja",'Mapa final'!$AA$13="Moderado"),CONCATENATE("R5C",'Mapa final'!$O$13),"")</f>
        <v/>
      </c>
      <c r="W50" s="68" t="e">
        <f>IF(AND('Mapa final'!#REF!="Muy Baja",'Mapa final'!#REF!="Moderado"),CONCATENATE("R5C",'Mapa final'!#REF!),"")</f>
        <v>#REF!</v>
      </c>
      <c r="X50" s="68" t="e">
        <f>IF(AND('Mapa final'!#REF!="Muy Baja",'Mapa final'!#REF!="Moderado"),CONCATENATE("R5C",'Mapa final'!#REF!),"")</f>
        <v>#REF!</v>
      </c>
      <c r="Y50" s="68" t="e">
        <f>IF(AND('Mapa final'!#REF!="Muy Baja",'Mapa final'!#REF!="Moderado"),CONCATENATE("R5C",'Mapa final'!#REF!),"")</f>
        <v>#REF!</v>
      </c>
      <c r="Z50" s="68" t="e">
        <f>IF(AND('Mapa final'!#REF!="Muy Baja",'Mapa final'!#REF!="Moderado"),CONCATENATE("R5C",'Mapa final'!#REF!),"")</f>
        <v>#REF!</v>
      </c>
      <c r="AA50" s="69" t="e">
        <f>IF(AND('Mapa final'!#REF!="Muy Baja",'Mapa final'!#REF!="Moderado"),CONCATENATE("R5C",'Mapa final'!#REF!),"")</f>
        <v>#REF!</v>
      </c>
      <c r="AB50" s="52" t="str">
        <f>IF(AND('Mapa final'!$Y$13="Muy Baja",'Mapa final'!$AA$13="Mayor"),CONCATENATE("R5C",'Mapa final'!$O$13),"")</f>
        <v/>
      </c>
      <c r="AC50" s="53" t="e">
        <f>IF(AND('Mapa final'!#REF!="Muy Baja",'Mapa final'!#REF!="Mayor"),CONCATENATE("R5C",'Mapa final'!#REF!),"")</f>
        <v>#REF!</v>
      </c>
      <c r="AD50" s="53" t="e">
        <f>IF(AND('Mapa final'!#REF!="Muy Baja",'Mapa final'!#REF!="Mayor"),CONCATENATE("R5C",'Mapa final'!#REF!),"")</f>
        <v>#REF!</v>
      </c>
      <c r="AE50" s="53" t="e">
        <f>IF(AND('Mapa final'!#REF!="Muy Baja",'Mapa final'!#REF!="Mayor"),CONCATENATE("R5C",'Mapa final'!#REF!),"")</f>
        <v>#REF!</v>
      </c>
      <c r="AF50" s="53" t="e">
        <f>IF(AND('Mapa final'!#REF!="Muy Baja",'Mapa final'!#REF!="Mayor"),CONCATENATE("R5C",'Mapa final'!#REF!),"")</f>
        <v>#REF!</v>
      </c>
      <c r="AG50" s="54" t="e">
        <f>IF(AND('Mapa final'!#REF!="Muy Baja",'Mapa final'!#REF!="Mayor"),CONCATENATE("R5C",'Mapa final'!#REF!),"")</f>
        <v>#REF!</v>
      </c>
      <c r="AH50" s="55" t="str">
        <f>IF(AND('Mapa final'!$Y$13="Muy Baja",'Mapa final'!$AA$13="Catastrófico"),CONCATENATE("R5C",'Mapa final'!$O$13),"")</f>
        <v/>
      </c>
      <c r="AI50" s="56" t="e">
        <f>IF(AND('Mapa final'!#REF!="Muy Baja",'Mapa final'!#REF!="Catastrófico"),CONCATENATE("R5C",'Mapa final'!#REF!),"")</f>
        <v>#REF!</v>
      </c>
      <c r="AJ50" s="56" t="e">
        <f>IF(AND('Mapa final'!#REF!="Muy Baja",'Mapa final'!#REF!="Catastrófico"),CONCATENATE("R5C",'Mapa final'!#REF!),"")</f>
        <v>#REF!</v>
      </c>
      <c r="AK50" s="56" t="e">
        <f>IF(AND('Mapa final'!#REF!="Muy Baja",'Mapa final'!#REF!="Catastrófico"),CONCATENATE("R5C",'Mapa final'!#REF!),"")</f>
        <v>#REF!</v>
      </c>
      <c r="AL50" s="56" t="e">
        <f>IF(AND('Mapa final'!#REF!="Muy Baja",'Mapa final'!#REF!="Catastrófico"),CONCATENATE("R5C",'Mapa final'!#REF!),"")</f>
        <v>#REF!</v>
      </c>
      <c r="AM50" s="57" t="e">
        <f>IF(AND('Mapa final'!#REF!="Muy Baja",'Mapa final'!#REF!="Catastrófico"),CONCATENATE("R5C",'Mapa final'!#REF!),"")</f>
        <v>#REF!</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92"/>
      <c r="C51" s="292"/>
      <c r="D51" s="293"/>
      <c r="E51" s="333"/>
      <c r="F51" s="334"/>
      <c r="G51" s="334"/>
      <c r="H51" s="334"/>
      <c r="I51" s="335"/>
      <c r="J51" s="76" t="str">
        <f>IF(AND('Mapa final'!$Y$14="Muy Baja",'Mapa final'!$AA$14="Leve"),CONCATENATE("R6C",'Mapa final'!$O$14),"")</f>
        <v/>
      </c>
      <c r="K51" s="77" t="e">
        <f>IF(AND('Mapa final'!#REF!="Muy Baja",'Mapa final'!#REF!="Leve"),CONCATENATE("R6C",'Mapa final'!#REF!),"")</f>
        <v>#REF!</v>
      </c>
      <c r="L51" s="77" t="e">
        <f>IF(AND('Mapa final'!#REF!="Muy Baja",'Mapa final'!#REF!="Leve"),CONCATENATE("R6C",'Mapa final'!#REF!),"")</f>
        <v>#REF!</v>
      </c>
      <c r="M51" s="77" t="e">
        <f>IF(AND('Mapa final'!#REF!="Muy Baja",'Mapa final'!#REF!="Leve"),CONCATENATE("R6C",'Mapa final'!#REF!),"")</f>
        <v>#REF!</v>
      </c>
      <c r="N51" s="77" t="e">
        <f>IF(AND('Mapa final'!#REF!="Muy Baja",'Mapa final'!#REF!="Leve"),CONCATENATE("R6C",'Mapa final'!#REF!),"")</f>
        <v>#REF!</v>
      </c>
      <c r="O51" s="78" t="e">
        <f>IF(AND('Mapa final'!#REF!="Muy Baja",'Mapa final'!#REF!="Leve"),CONCATENATE("R6C",'Mapa final'!#REF!),"")</f>
        <v>#REF!</v>
      </c>
      <c r="P51" s="76" t="str">
        <f>IF(AND('Mapa final'!$Y$14="Muy Baja",'Mapa final'!$AA$14="Menor"),CONCATENATE("R6C",'Mapa final'!$O$14),"")</f>
        <v/>
      </c>
      <c r="Q51" s="77" t="e">
        <f>IF(AND('Mapa final'!#REF!="Muy Baja",'Mapa final'!#REF!="Menor"),CONCATENATE("R6C",'Mapa final'!#REF!),"")</f>
        <v>#REF!</v>
      </c>
      <c r="R51" s="77" t="e">
        <f>IF(AND('Mapa final'!#REF!="Muy Baja",'Mapa final'!#REF!="Menor"),CONCATENATE("R6C",'Mapa final'!#REF!),"")</f>
        <v>#REF!</v>
      </c>
      <c r="S51" s="77" t="e">
        <f>IF(AND('Mapa final'!#REF!="Muy Baja",'Mapa final'!#REF!="Menor"),CONCATENATE("R6C",'Mapa final'!#REF!),"")</f>
        <v>#REF!</v>
      </c>
      <c r="T51" s="77" t="e">
        <f>IF(AND('Mapa final'!#REF!="Muy Baja",'Mapa final'!#REF!="Menor"),CONCATENATE("R6C",'Mapa final'!#REF!),"")</f>
        <v>#REF!</v>
      </c>
      <c r="U51" s="78" t="e">
        <f>IF(AND('Mapa final'!#REF!="Muy Baja",'Mapa final'!#REF!="Menor"),CONCATENATE("R6C",'Mapa final'!#REF!),"")</f>
        <v>#REF!</v>
      </c>
      <c r="V51" s="67" t="str">
        <f>IF(AND('Mapa final'!$Y$14="Muy Baja",'Mapa final'!$AA$14="Moderado"),CONCATENATE("R6C",'Mapa final'!$O$14),"")</f>
        <v/>
      </c>
      <c r="W51" s="68" t="e">
        <f>IF(AND('Mapa final'!#REF!="Muy Baja",'Mapa final'!#REF!="Moderado"),CONCATENATE("R6C",'Mapa final'!#REF!),"")</f>
        <v>#REF!</v>
      </c>
      <c r="X51" s="68" t="e">
        <f>IF(AND('Mapa final'!#REF!="Muy Baja",'Mapa final'!#REF!="Moderado"),CONCATENATE("R6C",'Mapa final'!#REF!),"")</f>
        <v>#REF!</v>
      </c>
      <c r="Y51" s="68" t="e">
        <f>IF(AND('Mapa final'!#REF!="Muy Baja",'Mapa final'!#REF!="Moderado"),CONCATENATE("R6C",'Mapa final'!#REF!),"")</f>
        <v>#REF!</v>
      </c>
      <c r="Z51" s="68" t="e">
        <f>IF(AND('Mapa final'!#REF!="Muy Baja",'Mapa final'!#REF!="Moderado"),CONCATENATE("R6C",'Mapa final'!#REF!),"")</f>
        <v>#REF!</v>
      </c>
      <c r="AA51" s="69" t="e">
        <f>IF(AND('Mapa final'!#REF!="Muy Baja",'Mapa final'!#REF!="Moderado"),CONCATENATE("R6C",'Mapa final'!#REF!),"")</f>
        <v>#REF!</v>
      </c>
      <c r="AB51" s="52" t="str">
        <f>IF(AND('Mapa final'!$Y$14="Muy Baja",'Mapa final'!$AA$14="Mayor"),CONCATENATE("R6C",'Mapa final'!$O$14),"")</f>
        <v/>
      </c>
      <c r="AC51" s="53" t="e">
        <f>IF(AND('Mapa final'!#REF!="Muy Baja",'Mapa final'!#REF!="Mayor"),CONCATENATE("R6C",'Mapa final'!#REF!),"")</f>
        <v>#REF!</v>
      </c>
      <c r="AD51" s="53" t="e">
        <f>IF(AND('Mapa final'!#REF!="Muy Baja",'Mapa final'!#REF!="Mayor"),CONCATENATE("R6C",'Mapa final'!#REF!),"")</f>
        <v>#REF!</v>
      </c>
      <c r="AE51" s="53" t="e">
        <f>IF(AND('Mapa final'!#REF!="Muy Baja",'Mapa final'!#REF!="Mayor"),CONCATENATE("R6C",'Mapa final'!#REF!),"")</f>
        <v>#REF!</v>
      </c>
      <c r="AF51" s="53" t="e">
        <f>IF(AND('Mapa final'!#REF!="Muy Baja",'Mapa final'!#REF!="Mayor"),CONCATENATE("R6C",'Mapa final'!#REF!),"")</f>
        <v>#REF!</v>
      </c>
      <c r="AG51" s="54" t="e">
        <f>IF(AND('Mapa final'!#REF!="Muy Baja",'Mapa final'!#REF!="Mayor"),CONCATENATE("R6C",'Mapa final'!#REF!),"")</f>
        <v>#REF!</v>
      </c>
      <c r="AH51" s="55" t="str">
        <f>IF(AND('Mapa final'!$Y$14="Muy Baja",'Mapa final'!$AA$14="Catastrófico"),CONCATENATE("R6C",'Mapa final'!$O$14),"")</f>
        <v/>
      </c>
      <c r="AI51" s="56" t="e">
        <f>IF(AND('Mapa final'!#REF!="Muy Baja",'Mapa final'!#REF!="Catastrófico"),CONCATENATE("R6C",'Mapa final'!#REF!),"")</f>
        <v>#REF!</v>
      </c>
      <c r="AJ51" s="56" t="e">
        <f>IF(AND('Mapa final'!#REF!="Muy Baja",'Mapa final'!#REF!="Catastrófico"),CONCATENATE("R6C",'Mapa final'!#REF!),"")</f>
        <v>#REF!</v>
      </c>
      <c r="AK51" s="56" t="e">
        <f>IF(AND('Mapa final'!#REF!="Muy Baja",'Mapa final'!#REF!="Catastrófico"),CONCATENATE("R6C",'Mapa final'!#REF!),"")</f>
        <v>#REF!</v>
      </c>
      <c r="AL51" s="56" t="e">
        <f>IF(AND('Mapa final'!#REF!="Muy Baja",'Mapa final'!#REF!="Catastrófico"),CONCATENATE("R6C",'Mapa final'!#REF!),"")</f>
        <v>#REF!</v>
      </c>
      <c r="AM51" s="57" t="e">
        <f>IF(AND('Mapa final'!#REF!="Muy Baja",'Mapa final'!#REF!="Catastrófico"),CONCATENATE("R6C",'Mapa final'!#REF!),"")</f>
        <v>#REF!</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92"/>
      <c r="C52" s="292"/>
      <c r="D52" s="293"/>
      <c r="E52" s="333"/>
      <c r="F52" s="334"/>
      <c r="G52" s="334"/>
      <c r="H52" s="334"/>
      <c r="I52" s="335"/>
      <c r="J52" s="76" t="str">
        <f>IF(AND('Mapa final'!$Y$15="Muy Baja",'Mapa final'!$AA$15="Leve"),CONCATENATE("R7C",'Mapa final'!$O$15),"")</f>
        <v/>
      </c>
      <c r="K52" s="77" t="e">
        <f>IF(AND('Mapa final'!#REF!="Muy Baja",'Mapa final'!#REF!="Leve"),CONCATENATE("R7C",'Mapa final'!#REF!),"")</f>
        <v>#REF!</v>
      </c>
      <c r="L52" s="77" t="e">
        <f>IF(AND('Mapa final'!#REF!="Muy Baja",'Mapa final'!#REF!="Leve"),CONCATENATE("R7C",'Mapa final'!#REF!),"")</f>
        <v>#REF!</v>
      </c>
      <c r="M52" s="77" t="e">
        <f>IF(AND('Mapa final'!#REF!="Muy Baja",'Mapa final'!#REF!="Leve"),CONCATENATE("R7C",'Mapa final'!#REF!),"")</f>
        <v>#REF!</v>
      </c>
      <c r="N52" s="77" t="e">
        <f>IF(AND('Mapa final'!#REF!="Muy Baja",'Mapa final'!#REF!="Leve"),CONCATENATE("R7C",'Mapa final'!#REF!),"")</f>
        <v>#REF!</v>
      </c>
      <c r="O52" s="78" t="e">
        <f>IF(AND('Mapa final'!#REF!="Muy Baja",'Mapa final'!#REF!="Leve"),CONCATENATE("R7C",'Mapa final'!#REF!),"")</f>
        <v>#REF!</v>
      </c>
      <c r="P52" s="76" t="str">
        <f>IF(AND('Mapa final'!$Y$15="Muy Baja",'Mapa final'!$AA$15="Menor"),CONCATENATE("R7C",'Mapa final'!$O$15),"")</f>
        <v/>
      </c>
      <c r="Q52" s="77" t="e">
        <f>IF(AND('Mapa final'!#REF!="Muy Baja",'Mapa final'!#REF!="Menor"),CONCATENATE("R7C",'Mapa final'!#REF!),"")</f>
        <v>#REF!</v>
      </c>
      <c r="R52" s="77" t="e">
        <f>IF(AND('Mapa final'!#REF!="Muy Baja",'Mapa final'!#REF!="Menor"),CONCATENATE("R7C",'Mapa final'!#REF!),"")</f>
        <v>#REF!</v>
      </c>
      <c r="S52" s="77" t="e">
        <f>IF(AND('Mapa final'!#REF!="Muy Baja",'Mapa final'!#REF!="Menor"),CONCATENATE("R7C",'Mapa final'!#REF!),"")</f>
        <v>#REF!</v>
      </c>
      <c r="T52" s="77" t="e">
        <f>IF(AND('Mapa final'!#REF!="Muy Baja",'Mapa final'!#REF!="Menor"),CONCATENATE("R7C",'Mapa final'!#REF!),"")</f>
        <v>#REF!</v>
      </c>
      <c r="U52" s="78" t="e">
        <f>IF(AND('Mapa final'!#REF!="Muy Baja",'Mapa final'!#REF!="Menor"),CONCATENATE("R7C",'Mapa final'!#REF!),"")</f>
        <v>#REF!</v>
      </c>
      <c r="V52" s="67" t="str">
        <f>IF(AND('Mapa final'!$Y$15="Muy Baja",'Mapa final'!$AA$15="Moderado"),CONCATENATE("R7C",'Mapa final'!$O$15),"")</f>
        <v/>
      </c>
      <c r="W52" s="68" t="e">
        <f>IF(AND('Mapa final'!#REF!="Muy Baja",'Mapa final'!#REF!="Moderado"),CONCATENATE("R7C",'Mapa final'!#REF!),"")</f>
        <v>#REF!</v>
      </c>
      <c r="X52" s="68" t="e">
        <f>IF(AND('Mapa final'!#REF!="Muy Baja",'Mapa final'!#REF!="Moderado"),CONCATENATE("R7C",'Mapa final'!#REF!),"")</f>
        <v>#REF!</v>
      </c>
      <c r="Y52" s="68" t="e">
        <f>IF(AND('Mapa final'!#REF!="Muy Baja",'Mapa final'!#REF!="Moderado"),CONCATENATE("R7C",'Mapa final'!#REF!),"")</f>
        <v>#REF!</v>
      </c>
      <c r="Z52" s="68" t="e">
        <f>IF(AND('Mapa final'!#REF!="Muy Baja",'Mapa final'!#REF!="Moderado"),CONCATENATE("R7C",'Mapa final'!#REF!),"")</f>
        <v>#REF!</v>
      </c>
      <c r="AA52" s="69" t="e">
        <f>IF(AND('Mapa final'!#REF!="Muy Baja",'Mapa final'!#REF!="Moderado"),CONCATENATE("R7C",'Mapa final'!#REF!),"")</f>
        <v>#REF!</v>
      </c>
      <c r="AB52" s="52" t="str">
        <f>IF(AND('Mapa final'!$Y$15="Muy Baja",'Mapa final'!$AA$15="Mayor"),CONCATENATE("R7C",'Mapa final'!$O$15),"")</f>
        <v/>
      </c>
      <c r="AC52" s="53" t="e">
        <f>IF(AND('Mapa final'!#REF!="Muy Baja",'Mapa final'!#REF!="Mayor"),CONCATENATE("R7C",'Mapa final'!#REF!),"")</f>
        <v>#REF!</v>
      </c>
      <c r="AD52" s="53" t="e">
        <f>IF(AND('Mapa final'!#REF!="Muy Baja",'Mapa final'!#REF!="Mayor"),CONCATENATE("R7C",'Mapa final'!#REF!),"")</f>
        <v>#REF!</v>
      </c>
      <c r="AE52" s="53" t="e">
        <f>IF(AND('Mapa final'!#REF!="Muy Baja",'Mapa final'!#REF!="Mayor"),CONCATENATE("R7C",'Mapa final'!#REF!),"")</f>
        <v>#REF!</v>
      </c>
      <c r="AF52" s="53" t="e">
        <f>IF(AND('Mapa final'!#REF!="Muy Baja",'Mapa final'!#REF!="Mayor"),CONCATENATE("R7C",'Mapa final'!#REF!),"")</f>
        <v>#REF!</v>
      </c>
      <c r="AG52" s="54" t="e">
        <f>IF(AND('Mapa final'!#REF!="Muy Baja",'Mapa final'!#REF!="Mayor"),CONCATENATE("R7C",'Mapa final'!#REF!),"")</f>
        <v>#REF!</v>
      </c>
      <c r="AH52" s="55" t="str">
        <f>IF(AND('Mapa final'!$Y$15="Muy Baja",'Mapa final'!$AA$15="Catastrófico"),CONCATENATE("R7C",'Mapa final'!$O$15),"")</f>
        <v/>
      </c>
      <c r="AI52" s="56" t="e">
        <f>IF(AND('Mapa final'!#REF!="Muy Baja",'Mapa final'!#REF!="Catastrófico"),CONCATENATE("R7C",'Mapa final'!#REF!),"")</f>
        <v>#REF!</v>
      </c>
      <c r="AJ52" s="56" t="e">
        <f>IF(AND('Mapa final'!#REF!="Muy Baja",'Mapa final'!#REF!="Catastrófico"),CONCATENATE("R7C",'Mapa final'!#REF!),"")</f>
        <v>#REF!</v>
      </c>
      <c r="AK52" s="56" t="e">
        <f>IF(AND('Mapa final'!#REF!="Muy Baja",'Mapa final'!#REF!="Catastrófico"),CONCATENATE("R7C",'Mapa final'!#REF!),"")</f>
        <v>#REF!</v>
      </c>
      <c r="AL52" s="56" t="e">
        <f>IF(AND('Mapa final'!#REF!="Muy Baja",'Mapa final'!#REF!="Catastrófico"),CONCATENATE("R7C",'Mapa final'!#REF!),"")</f>
        <v>#REF!</v>
      </c>
      <c r="AM52" s="57" t="e">
        <f>IF(AND('Mapa final'!#REF!="Muy Baja",'Mapa final'!#REF!="Catastrófico"),CONCATENATE("R7C",'Mapa final'!#REF!),"")</f>
        <v>#REF!</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92"/>
      <c r="C53" s="292"/>
      <c r="D53" s="293"/>
      <c r="E53" s="333"/>
      <c r="F53" s="334"/>
      <c r="G53" s="334"/>
      <c r="H53" s="334"/>
      <c r="I53" s="335"/>
      <c r="J53" s="76" t="str">
        <f>IF(AND('Mapa final'!$Y$16="Muy Baja",'Mapa final'!$AA$16="Leve"),CONCATENATE("R8C",'Mapa final'!$O$16),"")</f>
        <v/>
      </c>
      <c r="K53" s="77" t="str">
        <f>IF(AND('Mapa final'!$Y$17="Muy Baja",'Mapa final'!$AA$17="Leve"),CONCATENATE("R8C",'Mapa final'!$O$17),"")</f>
        <v/>
      </c>
      <c r="L53" s="77" t="str">
        <f>IF(AND('Mapa final'!$Y$18="Muy Baja",'Mapa final'!$AA$18="Leve"),CONCATENATE("R8C",'Mapa final'!$O$18),"")</f>
        <v/>
      </c>
      <c r="M53" s="77" t="str">
        <f>IF(AND('Mapa final'!$Y$19="Muy Baja",'Mapa final'!$AA$19="Leve"),CONCATENATE("R8C",'Mapa final'!$O$19),"")</f>
        <v/>
      </c>
      <c r="N53" s="77" t="str">
        <f>IF(AND('Mapa final'!$Y$20="Muy Baja",'Mapa final'!$AA$20="Leve"),CONCATENATE("R8C",'Mapa final'!$O$20),"")</f>
        <v/>
      </c>
      <c r="O53" s="78" t="str">
        <f>IF(AND('Mapa final'!$Y$21="Muy Baja",'Mapa final'!$AA$21="Leve"),CONCATENATE("R8C",'Mapa final'!$O$21),"")</f>
        <v/>
      </c>
      <c r="P53" s="76" t="str">
        <f>IF(AND('Mapa final'!$Y$16="Muy Baja",'Mapa final'!$AA$16="Menor"),CONCATENATE("R8C",'Mapa final'!$O$16),"")</f>
        <v/>
      </c>
      <c r="Q53" s="77" t="str">
        <f>IF(AND('Mapa final'!$Y$17="Muy Baja",'Mapa final'!$AA$17="Menor"),CONCATENATE("R8C",'Mapa final'!$O$17),"")</f>
        <v/>
      </c>
      <c r="R53" s="77" t="str">
        <f>IF(AND('Mapa final'!$Y$18="Muy Baja",'Mapa final'!$AA$18="Menor"),CONCATENATE("R8C",'Mapa final'!$O$18),"")</f>
        <v/>
      </c>
      <c r="S53" s="77" t="str">
        <f>IF(AND('Mapa final'!$Y$19="Muy Baja",'Mapa final'!$AA$19="Menor"),CONCATENATE("R8C",'Mapa final'!$O$19),"")</f>
        <v/>
      </c>
      <c r="T53" s="77" t="str">
        <f>IF(AND('Mapa final'!$Y$20="Muy Baja",'Mapa final'!$AA$20="Menor"),CONCATENATE("R8C",'Mapa final'!$O$20),"")</f>
        <v/>
      </c>
      <c r="U53" s="78" t="str">
        <f>IF(AND('Mapa final'!$Y$21="Muy Baja",'Mapa final'!$AA$21="Menor"),CONCATENATE("R8C",'Mapa final'!$O$21),"")</f>
        <v/>
      </c>
      <c r="V53" s="67" t="str">
        <f>IF(AND('Mapa final'!$Y$16="Muy Baja",'Mapa final'!$AA$16="Moderado"),CONCATENATE("R8C",'Mapa final'!$O$16),"")</f>
        <v/>
      </c>
      <c r="W53" s="68" t="str">
        <f>IF(AND('Mapa final'!$Y$17="Muy Baja",'Mapa final'!$AA$17="Moderado"),CONCATENATE("R8C",'Mapa final'!$O$17),"")</f>
        <v/>
      </c>
      <c r="X53" s="68" t="str">
        <f>IF(AND('Mapa final'!$Y$18="Muy Baja",'Mapa final'!$AA$18="Moderado"),CONCATENATE("R8C",'Mapa final'!$O$18),"")</f>
        <v/>
      </c>
      <c r="Y53" s="68" t="str">
        <f>IF(AND('Mapa final'!$Y$19="Muy Baja",'Mapa final'!$AA$19="Moderado"),CONCATENATE("R8C",'Mapa final'!$O$19),"")</f>
        <v/>
      </c>
      <c r="Z53" s="68" t="str">
        <f>IF(AND('Mapa final'!$Y$20="Muy Baja",'Mapa final'!$AA$20="Moderado"),CONCATENATE("R8C",'Mapa final'!$O$20),"")</f>
        <v/>
      </c>
      <c r="AA53" s="69" t="str">
        <f>IF(AND('Mapa final'!$Y$21="Muy Baja",'Mapa final'!$AA$21="Moderado"),CONCATENATE("R8C",'Mapa final'!$O$21),"")</f>
        <v/>
      </c>
      <c r="AB53" s="52" t="str">
        <f>IF(AND('Mapa final'!$Y$16="Muy Baja",'Mapa final'!$AA$16="Mayor"),CONCATENATE("R8C",'Mapa final'!$O$16),"")</f>
        <v/>
      </c>
      <c r="AC53" s="53" t="str">
        <f>IF(AND('Mapa final'!$Y$17="Muy Baja",'Mapa final'!$AA$17="Mayor"),CONCATENATE("R8C",'Mapa final'!$O$17),"")</f>
        <v/>
      </c>
      <c r="AD53" s="53" t="str">
        <f>IF(AND('Mapa final'!$Y$18="Muy Baja",'Mapa final'!$AA$18="Mayor"),CONCATENATE("R8C",'Mapa final'!$O$18),"")</f>
        <v/>
      </c>
      <c r="AE53" s="53" t="str">
        <f>IF(AND('Mapa final'!$Y$19="Muy Baja",'Mapa final'!$AA$19="Mayor"),CONCATENATE("R8C",'Mapa final'!$O$19),"")</f>
        <v/>
      </c>
      <c r="AF53" s="53" t="str">
        <f>IF(AND('Mapa final'!$Y$20="Muy Baja",'Mapa final'!$AA$20="Mayor"),CONCATENATE("R8C",'Mapa final'!$O$20),"")</f>
        <v/>
      </c>
      <c r="AG53" s="54" t="str">
        <f>IF(AND('Mapa final'!$Y$21="Muy Baja",'Mapa final'!$AA$21="Mayor"),CONCATENATE("R8C",'Mapa final'!$O$21),"")</f>
        <v/>
      </c>
      <c r="AH53" s="55" t="str">
        <f>IF(AND('Mapa final'!$Y$16="Muy Baja",'Mapa final'!$AA$16="Catastrófico"),CONCATENATE("R8C",'Mapa final'!$O$16),"")</f>
        <v/>
      </c>
      <c r="AI53" s="56" t="str">
        <f>IF(AND('Mapa final'!$Y$17="Muy Baja",'Mapa final'!$AA$17="Catastrófico"),CONCATENATE("R8C",'Mapa final'!$O$17),"")</f>
        <v/>
      </c>
      <c r="AJ53" s="56" t="str">
        <f>IF(AND('Mapa final'!$Y$18="Muy Baja",'Mapa final'!$AA$18="Catastrófico"),CONCATENATE("R8C",'Mapa final'!$O$18),"")</f>
        <v/>
      </c>
      <c r="AK53" s="56" t="str">
        <f>IF(AND('Mapa final'!$Y$19="Muy Baja",'Mapa final'!$AA$19="Catastrófico"),CONCATENATE("R8C",'Mapa final'!$O$19),"")</f>
        <v/>
      </c>
      <c r="AL53" s="56" t="str">
        <f>IF(AND('Mapa final'!$Y$20="Muy Baja",'Mapa final'!$AA$20="Catastrófico"),CONCATENATE("R8C",'Mapa final'!$O$20),"")</f>
        <v/>
      </c>
      <c r="AM53" s="57" t="str">
        <f>IF(AND('Mapa final'!$Y$21="Muy Baja",'Mapa final'!$AA$21="Catastrófico"),CONCATENATE("R8C",'Mapa final'!$O$21),"")</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92"/>
      <c r="C54" s="292"/>
      <c r="D54" s="293"/>
      <c r="E54" s="333"/>
      <c r="F54" s="334"/>
      <c r="G54" s="334"/>
      <c r="H54" s="334"/>
      <c r="I54" s="335"/>
      <c r="J54" s="76" t="str">
        <f>IF(AND('Mapa final'!$Y$22="Muy Baja",'Mapa final'!$AA$22="Leve"),CONCATENATE("R9C",'Mapa final'!$O$22),"")</f>
        <v/>
      </c>
      <c r="K54" s="77" t="str">
        <f>IF(AND('Mapa final'!$Y$23="Muy Baja",'Mapa final'!$AA$23="Leve"),CONCATENATE("R9C",'Mapa final'!$O$23),"")</f>
        <v/>
      </c>
      <c r="L54" s="77" t="str">
        <f>IF(AND('Mapa final'!$Y$24="Muy Baja",'Mapa final'!$AA$24="Leve"),CONCATENATE("R9C",'Mapa final'!$O$24),"")</f>
        <v/>
      </c>
      <c r="M54" s="77" t="str">
        <f>IF(AND('Mapa final'!$Y$25="Muy Baja",'Mapa final'!$AA$25="Leve"),CONCATENATE("R9C",'Mapa final'!$O$25),"")</f>
        <v/>
      </c>
      <c r="N54" s="77" t="str">
        <f>IF(AND('Mapa final'!$Y$26="Muy Baja",'Mapa final'!$AA$26="Leve"),CONCATENATE("R9C",'Mapa final'!$O$26),"")</f>
        <v/>
      </c>
      <c r="O54" s="78" t="str">
        <f>IF(AND('Mapa final'!$Y$27="Muy Baja",'Mapa final'!$AA$27="Leve"),CONCATENATE("R9C",'Mapa final'!$O$27),"")</f>
        <v/>
      </c>
      <c r="P54" s="76" t="str">
        <f>IF(AND('Mapa final'!$Y$22="Muy Baja",'Mapa final'!$AA$22="Menor"),CONCATENATE("R9C",'Mapa final'!$O$22),"")</f>
        <v/>
      </c>
      <c r="Q54" s="77" t="str">
        <f>IF(AND('Mapa final'!$Y$23="Muy Baja",'Mapa final'!$AA$23="Menor"),CONCATENATE("R9C",'Mapa final'!$O$23),"")</f>
        <v/>
      </c>
      <c r="R54" s="77" t="str">
        <f>IF(AND('Mapa final'!$Y$24="Muy Baja",'Mapa final'!$AA$24="Menor"),CONCATENATE("R9C",'Mapa final'!$O$24),"")</f>
        <v/>
      </c>
      <c r="S54" s="77" t="str">
        <f>IF(AND('Mapa final'!$Y$25="Muy Baja",'Mapa final'!$AA$25="Menor"),CONCATENATE("R9C",'Mapa final'!$O$25),"")</f>
        <v/>
      </c>
      <c r="T54" s="77" t="str">
        <f>IF(AND('Mapa final'!$Y$26="Muy Baja",'Mapa final'!$AA$26="Menor"),CONCATENATE("R9C",'Mapa final'!$O$26),"")</f>
        <v/>
      </c>
      <c r="U54" s="78" t="str">
        <f>IF(AND('Mapa final'!$Y$27="Muy Baja",'Mapa final'!$AA$27="Menor"),CONCATENATE("R9C",'Mapa final'!$O$27),"")</f>
        <v/>
      </c>
      <c r="V54" s="67" t="str">
        <f>IF(AND('Mapa final'!$Y$22="Muy Baja",'Mapa final'!$AA$22="Moderado"),CONCATENATE("R9C",'Mapa final'!$O$22),"")</f>
        <v/>
      </c>
      <c r="W54" s="68" t="str">
        <f>IF(AND('Mapa final'!$Y$23="Muy Baja",'Mapa final'!$AA$23="Moderado"),CONCATENATE("R9C",'Mapa final'!$O$23),"")</f>
        <v/>
      </c>
      <c r="X54" s="68" t="str">
        <f>IF(AND('Mapa final'!$Y$24="Muy Baja",'Mapa final'!$AA$24="Moderado"),CONCATENATE("R9C",'Mapa final'!$O$24),"")</f>
        <v/>
      </c>
      <c r="Y54" s="68" t="str">
        <f>IF(AND('Mapa final'!$Y$25="Muy Baja",'Mapa final'!$AA$25="Moderado"),CONCATENATE("R9C",'Mapa final'!$O$25),"")</f>
        <v/>
      </c>
      <c r="Z54" s="68" t="str">
        <f>IF(AND('Mapa final'!$Y$26="Muy Baja",'Mapa final'!$AA$26="Moderado"),CONCATENATE("R9C",'Mapa final'!$O$26),"")</f>
        <v/>
      </c>
      <c r="AA54" s="69" t="str">
        <f>IF(AND('Mapa final'!$Y$27="Muy Baja",'Mapa final'!$AA$27="Moderado"),CONCATENATE("R9C",'Mapa final'!$O$27),"")</f>
        <v/>
      </c>
      <c r="AB54" s="52" t="str">
        <f>IF(AND('Mapa final'!$Y$22="Muy Baja",'Mapa final'!$AA$22="Mayor"),CONCATENATE("R9C",'Mapa final'!$O$22),"")</f>
        <v/>
      </c>
      <c r="AC54" s="53" t="str">
        <f>IF(AND('Mapa final'!$Y$23="Muy Baja",'Mapa final'!$AA$23="Mayor"),CONCATENATE("R9C",'Mapa final'!$O$23),"")</f>
        <v/>
      </c>
      <c r="AD54" s="53" t="str">
        <f>IF(AND('Mapa final'!$Y$24="Muy Baja",'Mapa final'!$AA$24="Mayor"),CONCATENATE("R9C",'Mapa final'!$O$24),"")</f>
        <v/>
      </c>
      <c r="AE54" s="53" t="str">
        <f>IF(AND('Mapa final'!$Y$25="Muy Baja",'Mapa final'!$AA$25="Mayor"),CONCATENATE("R9C",'Mapa final'!$O$25),"")</f>
        <v/>
      </c>
      <c r="AF54" s="53" t="str">
        <f>IF(AND('Mapa final'!$Y$26="Muy Baja",'Mapa final'!$AA$26="Mayor"),CONCATENATE("R9C",'Mapa final'!$O$26),"")</f>
        <v/>
      </c>
      <c r="AG54" s="54" t="str">
        <f>IF(AND('Mapa final'!$Y$27="Muy Baja",'Mapa final'!$AA$27="Mayor"),CONCATENATE("R9C",'Mapa final'!$O$27),"")</f>
        <v/>
      </c>
      <c r="AH54" s="55" t="str">
        <f>IF(AND('Mapa final'!$Y$22="Muy Baja",'Mapa final'!$AA$22="Catastrófico"),CONCATENATE("R9C",'Mapa final'!$O$22),"")</f>
        <v/>
      </c>
      <c r="AI54" s="56" t="str">
        <f>IF(AND('Mapa final'!$Y$23="Muy Baja",'Mapa final'!$AA$23="Catastrófico"),CONCATENATE("R9C",'Mapa final'!$O$23),"")</f>
        <v/>
      </c>
      <c r="AJ54" s="56" t="str">
        <f>IF(AND('Mapa final'!$Y$24="Muy Baja",'Mapa final'!$AA$24="Catastrófico"),CONCATENATE("R9C",'Mapa final'!$O$24),"")</f>
        <v/>
      </c>
      <c r="AK54" s="56" t="str">
        <f>IF(AND('Mapa final'!$Y$25="Muy Baja",'Mapa final'!$AA$25="Catastrófico"),CONCATENATE("R9C",'Mapa final'!$O$25),"")</f>
        <v/>
      </c>
      <c r="AL54" s="56" t="str">
        <f>IF(AND('Mapa final'!$Y$26="Muy Baja",'Mapa final'!$AA$26="Catastrófico"),CONCATENATE("R9C",'Mapa final'!$O$26),"")</f>
        <v/>
      </c>
      <c r="AM54" s="57" t="str">
        <f>IF(AND('Mapa final'!$Y$27="Muy Baja",'Mapa final'!$AA$27="Catastrófico"),CONCATENATE("R9C",'Mapa final'!$O$27),"")</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92"/>
      <c r="C55" s="292"/>
      <c r="D55" s="293"/>
      <c r="E55" s="336"/>
      <c r="F55" s="337"/>
      <c r="G55" s="337"/>
      <c r="H55" s="337"/>
      <c r="I55" s="338"/>
      <c r="J55" s="79" t="str">
        <f>IF(AND('Mapa final'!$Y$28="Muy Baja",'Mapa final'!$AA$28="Leve"),CONCATENATE("R10C",'Mapa final'!$O$28),"")</f>
        <v/>
      </c>
      <c r="K55" s="80" t="str">
        <f>IF(AND('Mapa final'!$Y$29="Muy Baja",'Mapa final'!$AA$29="Leve"),CONCATENATE("R10C",'Mapa final'!$O$29),"")</f>
        <v/>
      </c>
      <c r="L55" s="80" t="str">
        <f>IF(AND('Mapa final'!$Y$30="Muy Baja",'Mapa final'!$AA$30="Leve"),CONCATENATE("R10C",'Mapa final'!$O$30),"")</f>
        <v/>
      </c>
      <c r="M55" s="80" t="str">
        <f>IF(AND('Mapa final'!$Y$31="Muy Baja",'Mapa final'!$AA$31="Leve"),CONCATENATE("R10C",'Mapa final'!$O$31),"")</f>
        <v/>
      </c>
      <c r="N55" s="80" t="str">
        <f>IF(AND('Mapa final'!$Y$32="Muy Baja",'Mapa final'!$AA$32="Leve"),CONCATENATE("R10C",'Mapa final'!$O$32),"")</f>
        <v/>
      </c>
      <c r="O55" s="81" t="str">
        <f>IF(AND('Mapa final'!$Y$33="Muy Baja",'Mapa final'!$AA$33="Leve"),CONCATENATE("R10C",'Mapa final'!$O$33),"")</f>
        <v/>
      </c>
      <c r="P55" s="79" t="str">
        <f>IF(AND('Mapa final'!$Y$28="Muy Baja",'Mapa final'!$AA$28="Menor"),CONCATENATE("R10C",'Mapa final'!$O$28),"")</f>
        <v/>
      </c>
      <c r="Q55" s="80" t="str">
        <f>IF(AND('Mapa final'!$Y$29="Muy Baja",'Mapa final'!$AA$29="Menor"),CONCATENATE("R10C",'Mapa final'!$O$29),"")</f>
        <v/>
      </c>
      <c r="R55" s="80" t="str">
        <f>IF(AND('Mapa final'!$Y$30="Muy Baja",'Mapa final'!$AA$30="Menor"),CONCATENATE("R10C",'Mapa final'!$O$30),"")</f>
        <v/>
      </c>
      <c r="S55" s="80" t="str">
        <f>IF(AND('Mapa final'!$Y$31="Muy Baja",'Mapa final'!$AA$31="Menor"),CONCATENATE("R10C",'Mapa final'!$O$31),"")</f>
        <v/>
      </c>
      <c r="T55" s="80" t="str">
        <f>IF(AND('Mapa final'!$Y$32="Muy Baja",'Mapa final'!$AA$32="Menor"),CONCATENATE("R10C",'Mapa final'!$O$32),"")</f>
        <v/>
      </c>
      <c r="U55" s="81" t="str">
        <f>IF(AND('Mapa final'!$Y$33="Muy Baja",'Mapa final'!$AA$33="Menor"),CONCATENATE("R10C",'Mapa final'!$O$33),"")</f>
        <v/>
      </c>
      <c r="V55" s="70" t="str">
        <f>IF(AND('Mapa final'!$Y$28="Muy Baja",'Mapa final'!$AA$28="Moderado"),CONCATENATE("R10C",'Mapa final'!$O$28),"")</f>
        <v/>
      </c>
      <c r="W55" s="71" t="str">
        <f>IF(AND('Mapa final'!$Y$29="Muy Baja",'Mapa final'!$AA$29="Moderado"),CONCATENATE("R10C",'Mapa final'!$O$29),"")</f>
        <v/>
      </c>
      <c r="X55" s="71" t="str">
        <f>IF(AND('Mapa final'!$Y$30="Muy Baja",'Mapa final'!$AA$30="Moderado"),CONCATENATE("R10C",'Mapa final'!$O$30),"")</f>
        <v/>
      </c>
      <c r="Y55" s="71" t="str">
        <f>IF(AND('Mapa final'!$Y$31="Muy Baja",'Mapa final'!$AA$31="Moderado"),CONCATENATE("R10C",'Mapa final'!$O$31),"")</f>
        <v/>
      </c>
      <c r="Z55" s="71" t="str">
        <f>IF(AND('Mapa final'!$Y$32="Muy Baja",'Mapa final'!$AA$32="Moderado"),CONCATENATE("R10C",'Mapa final'!$O$32),"")</f>
        <v/>
      </c>
      <c r="AA55" s="72" t="str">
        <f>IF(AND('Mapa final'!$Y$33="Muy Baja",'Mapa final'!$AA$33="Moderado"),CONCATENATE("R10C",'Mapa final'!$O$33),"")</f>
        <v/>
      </c>
      <c r="AB55" s="58" t="str">
        <f>IF(AND('Mapa final'!$Y$28="Muy Baja",'Mapa final'!$AA$28="Mayor"),CONCATENATE("R10C",'Mapa final'!$O$28),"")</f>
        <v/>
      </c>
      <c r="AC55" s="59" t="str">
        <f>IF(AND('Mapa final'!$Y$29="Muy Baja",'Mapa final'!$AA$29="Mayor"),CONCATENATE("R10C",'Mapa final'!$O$29),"")</f>
        <v/>
      </c>
      <c r="AD55" s="59" t="str">
        <f>IF(AND('Mapa final'!$Y$30="Muy Baja",'Mapa final'!$AA$30="Mayor"),CONCATENATE("R10C",'Mapa final'!$O$30),"")</f>
        <v/>
      </c>
      <c r="AE55" s="59" t="str">
        <f>IF(AND('Mapa final'!$Y$31="Muy Baja",'Mapa final'!$AA$31="Mayor"),CONCATENATE("R10C",'Mapa final'!$O$31),"")</f>
        <v/>
      </c>
      <c r="AF55" s="59" t="str">
        <f>IF(AND('Mapa final'!$Y$32="Muy Baja",'Mapa final'!$AA$32="Mayor"),CONCATENATE("R10C",'Mapa final'!$O$32),"")</f>
        <v/>
      </c>
      <c r="AG55" s="60" t="str">
        <f>IF(AND('Mapa final'!$Y$33="Muy Baja",'Mapa final'!$AA$33="Mayor"),CONCATENATE("R10C",'Mapa final'!$O$33),"")</f>
        <v/>
      </c>
      <c r="AH55" s="61" t="str">
        <f>IF(AND('Mapa final'!$Y$28="Muy Baja",'Mapa final'!$AA$28="Catastrófico"),CONCATENATE("R10C",'Mapa final'!$O$28),"")</f>
        <v/>
      </c>
      <c r="AI55" s="62" t="str">
        <f>IF(AND('Mapa final'!$Y$29="Muy Baja",'Mapa final'!$AA$29="Catastrófico"),CONCATENATE("R10C",'Mapa final'!$O$29),"")</f>
        <v/>
      </c>
      <c r="AJ55" s="62" t="str">
        <f>IF(AND('Mapa final'!$Y$30="Muy Baja",'Mapa final'!$AA$30="Catastrófico"),CONCATENATE("R10C",'Mapa final'!$O$30),"")</f>
        <v/>
      </c>
      <c r="AK55" s="62" t="str">
        <f>IF(AND('Mapa final'!$Y$31="Muy Baja",'Mapa final'!$AA$31="Catastrófico"),CONCATENATE("R10C",'Mapa final'!$O$31),"")</f>
        <v/>
      </c>
      <c r="AL55" s="62" t="str">
        <f>IF(AND('Mapa final'!$Y$32="Muy Baja",'Mapa final'!$AA$32="Catastrófico"),CONCATENATE("R10C",'Mapa final'!$O$32),"")</f>
        <v/>
      </c>
      <c r="AM55" s="63" t="str">
        <f>IF(AND('Mapa final'!$Y$33="Muy Baja",'Mapa final'!$AA$33="Catastrófico"),CONCATENATE("R10C",'Mapa final'!$O$33),"")</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0" t="s">
        <v>112</v>
      </c>
      <c r="K56" s="331"/>
      <c r="L56" s="331"/>
      <c r="M56" s="331"/>
      <c r="N56" s="331"/>
      <c r="O56" s="332"/>
      <c r="P56" s="330" t="s">
        <v>111</v>
      </c>
      <c r="Q56" s="331"/>
      <c r="R56" s="331"/>
      <c r="S56" s="331"/>
      <c r="T56" s="331"/>
      <c r="U56" s="332"/>
      <c r="V56" s="330" t="s">
        <v>110</v>
      </c>
      <c r="W56" s="331"/>
      <c r="X56" s="331"/>
      <c r="Y56" s="331"/>
      <c r="Z56" s="331"/>
      <c r="AA56" s="332"/>
      <c r="AB56" s="330" t="s">
        <v>109</v>
      </c>
      <c r="AC56" s="339"/>
      <c r="AD56" s="331"/>
      <c r="AE56" s="331"/>
      <c r="AF56" s="331"/>
      <c r="AG56" s="332"/>
      <c r="AH56" s="330" t="s">
        <v>108</v>
      </c>
      <c r="AI56" s="331"/>
      <c r="AJ56" s="331"/>
      <c r="AK56" s="331"/>
      <c r="AL56" s="331"/>
      <c r="AM56" s="332"/>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3"/>
      <c r="K57" s="334"/>
      <c r="L57" s="334"/>
      <c r="M57" s="334"/>
      <c r="N57" s="334"/>
      <c r="O57" s="335"/>
      <c r="P57" s="333"/>
      <c r="Q57" s="334"/>
      <c r="R57" s="334"/>
      <c r="S57" s="334"/>
      <c r="T57" s="334"/>
      <c r="U57" s="335"/>
      <c r="V57" s="333"/>
      <c r="W57" s="334"/>
      <c r="X57" s="334"/>
      <c r="Y57" s="334"/>
      <c r="Z57" s="334"/>
      <c r="AA57" s="335"/>
      <c r="AB57" s="333"/>
      <c r="AC57" s="334"/>
      <c r="AD57" s="334"/>
      <c r="AE57" s="334"/>
      <c r="AF57" s="334"/>
      <c r="AG57" s="335"/>
      <c r="AH57" s="333"/>
      <c r="AI57" s="334"/>
      <c r="AJ57" s="334"/>
      <c r="AK57" s="334"/>
      <c r="AL57" s="334"/>
      <c r="AM57" s="335"/>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3"/>
      <c r="K58" s="334"/>
      <c r="L58" s="334"/>
      <c r="M58" s="334"/>
      <c r="N58" s="334"/>
      <c r="O58" s="335"/>
      <c r="P58" s="333"/>
      <c r="Q58" s="334"/>
      <c r="R58" s="334"/>
      <c r="S58" s="334"/>
      <c r="T58" s="334"/>
      <c r="U58" s="335"/>
      <c r="V58" s="333"/>
      <c r="W58" s="334"/>
      <c r="X58" s="334"/>
      <c r="Y58" s="334"/>
      <c r="Z58" s="334"/>
      <c r="AA58" s="335"/>
      <c r="AB58" s="333"/>
      <c r="AC58" s="334"/>
      <c r="AD58" s="334"/>
      <c r="AE58" s="334"/>
      <c r="AF58" s="334"/>
      <c r="AG58" s="335"/>
      <c r="AH58" s="333"/>
      <c r="AI58" s="334"/>
      <c r="AJ58" s="334"/>
      <c r="AK58" s="334"/>
      <c r="AL58" s="334"/>
      <c r="AM58" s="335"/>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3"/>
      <c r="K59" s="334"/>
      <c r="L59" s="334"/>
      <c r="M59" s="334"/>
      <c r="N59" s="334"/>
      <c r="O59" s="335"/>
      <c r="P59" s="333"/>
      <c r="Q59" s="334"/>
      <c r="R59" s="334"/>
      <c r="S59" s="334"/>
      <c r="T59" s="334"/>
      <c r="U59" s="335"/>
      <c r="V59" s="333"/>
      <c r="W59" s="334"/>
      <c r="X59" s="334"/>
      <c r="Y59" s="334"/>
      <c r="Z59" s="334"/>
      <c r="AA59" s="335"/>
      <c r="AB59" s="333"/>
      <c r="AC59" s="334"/>
      <c r="AD59" s="334"/>
      <c r="AE59" s="334"/>
      <c r="AF59" s="334"/>
      <c r="AG59" s="335"/>
      <c r="AH59" s="333"/>
      <c r="AI59" s="334"/>
      <c r="AJ59" s="334"/>
      <c r="AK59" s="334"/>
      <c r="AL59" s="334"/>
      <c r="AM59" s="335"/>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3"/>
      <c r="K60" s="334"/>
      <c r="L60" s="334"/>
      <c r="M60" s="334"/>
      <c r="N60" s="334"/>
      <c r="O60" s="335"/>
      <c r="P60" s="333"/>
      <c r="Q60" s="334"/>
      <c r="R60" s="334"/>
      <c r="S60" s="334"/>
      <c r="T60" s="334"/>
      <c r="U60" s="335"/>
      <c r="V60" s="333"/>
      <c r="W60" s="334"/>
      <c r="X60" s="334"/>
      <c r="Y60" s="334"/>
      <c r="Z60" s="334"/>
      <c r="AA60" s="335"/>
      <c r="AB60" s="333"/>
      <c r="AC60" s="334"/>
      <c r="AD60" s="334"/>
      <c r="AE60" s="334"/>
      <c r="AF60" s="334"/>
      <c r="AG60" s="335"/>
      <c r="AH60" s="333"/>
      <c r="AI60" s="334"/>
      <c r="AJ60" s="334"/>
      <c r="AK60" s="334"/>
      <c r="AL60" s="334"/>
      <c r="AM60" s="335"/>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6"/>
      <c r="K61" s="337"/>
      <c r="L61" s="337"/>
      <c r="M61" s="337"/>
      <c r="N61" s="337"/>
      <c r="O61" s="338"/>
      <c r="P61" s="336"/>
      <c r="Q61" s="337"/>
      <c r="R61" s="337"/>
      <c r="S61" s="337"/>
      <c r="T61" s="337"/>
      <c r="U61" s="338"/>
      <c r="V61" s="336"/>
      <c r="W61" s="337"/>
      <c r="X61" s="337"/>
      <c r="Y61" s="337"/>
      <c r="Z61" s="337"/>
      <c r="AA61" s="338"/>
      <c r="AB61" s="336"/>
      <c r="AC61" s="337"/>
      <c r="AD61" s="337"/>
      <c r="AE61" s="337"/>
      <c r="AF61" s="337"/>
      <c r="AG61" s="338"/>
      <c r="AH61" s="336"/>
      <c r="AI61" s="337"/>
      <c r="AJ61" s="337"/>
      <c r="AK61" s="337"/>
      <c r="AL61" s="337"/>
      <c r="AM61" s="338"/>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9" t="s">
        <v>55</v>
      </c>
      <c r="C1" s="379"/>
      <c r="D1" s="379"/>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80" t="s">
        <v>63</v>
      </c>
      <c r="C1" s="380"/>
      <c r="D1" s="380"/>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IF(NOT(ISERROR(MATCH(G210,_xlfn.ANCHORARRAY(B221),0))),F223&amp;"Por favor no seleccionar los criterios de impacto",G210)</f>
        <v>❌Por favor no seleccionar los criterios de impacto</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118</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81" t="s">
        <v>78</v>
      </c>
      <c r="C1" s="382"/>
      <c r="D1" s="382"/>
      <c r="E1" s="382"/>
      <c r="F1" s="383"/>
    </row>
    <row r="2" spans="2:6" ht="16.5" thickBot="1" x14ac:dyDescent="0.3">
      <c r="B2" s="89"/>
      <c r="C2" s="89"/>
      <c r="D2" s="89"/>
      <c r="E2" s="89"/>
      <c r="F2" s="89"/>
    </row>
    <row r="3" spans="2:6" ht="16.5" thickBot="1" x14ac:dyDescent="0.25">
      <c r="B3" s="385" t="s">
        <v>64</v>
      </c>
      <c r="C3" s="386"/>
      <c r="D3" s="386"/>
      <c r="E3" s="101" t="s">
        <v>65</v>
      </c>
      <c r="F3" s="102" t="s">
        <v>66</v>
      </c>
    </row>
    <row r="4" spans="2:6" ht="31.5" x14ac:dyDescent="0.2">
      <c r="B4" s="387" t="s">
        <v>67</v>
      </c>
      <c r="C4" s="389" t="s">
        <v>13</v>
      </c>
      <c r="D4" s="90" t="s">
        <v>14</v>
      </c>
      <c r="E4" s="91" t="s">
        <v>68</v>
      </c>
      <c r="F4" s="92">
        <v>0.25</v>
      </c>
    </row>
    <row r="5" spans="2:6" ht="47.25" x14ac:dyDescent="0.2">
      <c r="B5" s="388"/>
      <c r="C5" s="390"/>
      <c r="D5" s="93" t="s">
        <v>15</v>
      </c>
      <c r="E5" s="94" t="s">
        <v>69</v>
      </c>
      <c r="F5" s="95">
        <v>0.15</v>
      </c>
    </row>
    <row r="6" spans="2:6" ht="47.25" x14ac:dyDescent="0.2">
      <c r="B6" s="388"/>
      <c r="C6" s="390"/>
      <c r="D6" s="93" t="s">
        <v>16</v>
      </c>
      <c r="E6" s="94" t="s">
        <v>70</v>
      </c>
      <c r="F6" s="95">
        <v>0.1</v>
      </c>
    </row>
    <row r="7" spans="2:6" ht="63" x14ac:dyDescent="0.2">
      <c r="B7" s="388"/>
      <c r="C7" s="390" t="s">
        <v>17</v>
      </c>
      <c r="D7" s="93" t="s">
        <v>10</v>
      </c>
      <c r="E7" s="94" t="s">
        <v>71</v>
      </c>
      <c r="F7" s="95">
        <v>0.25</v>
      </c>
    </row>
    <row r="8" spans="2:6" ht="31.5" x14ac:dyDescent="0.2">
      <c r="B8" s="388"/>
      <c r="C8" s="390"/>
      <c r="D8" s="93" t="s">
        <v>9</v>
      </c>
      <c r="E8" s="94" t="s">
        <v>72</v>
      </c>
      <c r="F8" s="95">
        <v>0.15</v>
      </c>
    </row>
    <row r="9" spans="2:6" ht="47.25" x14ac:dyDescent="0.2">
      <c r="B9" s="388" t="s">
        <v>162</v>
      </c>
      <c r="C9" s="390" t="s">
        <v>18</v>
      </c>
      <c r="D9" s="93" t="s">
        <v>19</v>
      </c>
      <c r="E9" s="94" t="s">
        <v>73</v>
      </c>
      <c r="F9" s="96" t="s">
        <v>74</v>
      </c>
    </row>
    <row r="10" spans="2:6" ht="63" x14ac:dyDescent="0.2">
      <c r="B10" s="388"/>
      <c r="C10" s="390"/>
      <c r="D10" s="93" t="s">
        <v>20</v>
      </c>
      <c r="E10" s="94" t="s">
        <v>75</v>
      </c>
      <c r="F10" s="96" t="s">
        <v>74</v>
      </c>
    </row>
    <row r="11" spans="2:6" ht="47.25" x14ac:dyDescent="0.2">
      <c r="B11" s="388"/>
      <c r="C11" s="390" t="s">
        <v>21</v>
      </c>
      <c r="D11" s="93" t="s">
        <v>22</v>
      </c>
      <c r="E11" s="94" t="s">
        <v>76</v>
      </c>
      <c r="F11" s="96" t="s">
        <v>74</v>
      </c>
    </row>
    <row r="12" spans="2:6" ht="47.25" x14ac:dyDescent="0.2">
      <c r="B12" s="388"/>
      <c r="C12" s="390"/>
      <c r="D12" s="93" t="s">
        <v>23</v>
      </c>
      <c r="E12" s="94" t="s">
        <v>77</v>
      </c>
      <c r="F12" s="96" t="s">
        <v>74</v>
      </c>
    </row>
    <row r="13" spans="2:6" ht="31.5" x14ac:dyDescent="0.2">
      <c r="B13" s="388"/>
      <c r="C13" s="390" t="s">
        <v>24</v>
      </c>
      <c r="D13" s="93" t="s">
        <v>119</v>
      </c>
      <c r="E13" s="94" t="s">
        <v>122</v>
      </c>
      <c r="F13" s="96" t="s">
        <v>74</v>
      </c>
    </row>
    <row r="14" spans="2:6" ht="32.25" thickBot="1" x14ac:dyDescent="0.25">
      <c r="B14" s="391"/>
      <c r="C14" s="392"/>
      <c r="D14" s="97" t="s">
        <v>120</v>
      </c>
      <c r="E14" s="98" t="s">
        <v>121</v>
      </c>
      <c r="F14" s="99" t="s">
        <v>74</v>
      </c>
    </row>
    <row r="15" spans="2:6" ht="49.5" customHeight="1" x14ac:dyDescent="0.2">
      <c r="B15" s="384" t="s">
        <v>159</v>
      </c>
      <c r="C15" s="384"/>
      <c r="D15" s="384"/>
      <c r="E15" s="384"/>
      <c r="F15" s="384"/>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EDAT_2023</cp:lastModifiedBy>
  <cp:lastPrinted>2024-11-18T14:53:09Z</cp:lastPrinted>
  <dcterms:created xsi:type="dcterms:W3CDTF">2020-03-24T23:12:47Z</dcterms:created>
  <dcterms:modified xsi:type="dcterms:W3CDTF">2025-07-09T16:30:35Z</dcterms:modified>
</cp:coreProperties>
</file>