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sgos 2024 - copia\"/>
    </mc:Choice>
  </mc:AlternateContent>
  <xr:revisionPtr revIDLastSave="0" documentId="13_ncr:1_{7C6AAAB4-03FA-4F79-B6FE-F41E7AF78A56}" xr6:coauthVersionLast="47" xr6:coauthVersionMax="47" xr10:uidLastSave="{00000000-0000-0000-0000-000000000000}"/>
  <bookViews>
    <workbookView xWindow="-120" yWindow="-120" windowWidth="29040" windowHeight="1584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2"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0" i="1" l="1"/>
  <c r="T10" i="1" l="1"/>
  <c r="K30" i="1"/>
  <c r="K36" i="1"/>
  <c r="K19" i="1"/>
  <c r="K20" i="1"/>
  <c r="K21" i="1"/>
  <c r="K39" i="1"/>
  <c r="K35" i="1"/>
  <c r="K29" i="1"/>
  <c r="K26" i="1"/>
  <c r="K38" i="1"/>
  <c r="K27" i="1"/>
  <c r="K17" i="1"/>
  <c r="K31" i="1"/>
  <c r="K33" i="1"/>
  <c r="K37" i="1"/>
  <c r="K32" i="1"/>
  <c r="K18" i="1"/>
  <c r="K23" i="1"/>
  <c r="K24" i="1"/>
  <c r="K25" i="1"/>
  <c r="F221" i="13" l="1"/>
  <c r="F211" i="13"/>
  <c r="F212" i="13"/>
  <c r="F213" i="13"/>
  <c r="F214" i="13"/>
  <c r="F215" i="13"/>
  <c r="F216" i="13"/>
  <c r="F217" i="13"/>
  <c r="F218" i="13"/>
  <c r="F219" i="13"/>
  <c r="F220" i="13"/>
  <c r="F210" i="13"/>
  <c r="B221" i="13" a="1"/>
  <c r="B221" i="13" l="1"/>
  <c r="Q22" i="1"/>
  <c r="Q1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39" i="1" l="1"/>
  <c r="Q39" i="1"/>
  <c r="T38" i="1"/>
  <c r="Q38" i="1"/>
  <c r="T37" i="1"/>
  <c r="Q37" i="1"/>
  <c r="T36" i="1"/>
  <c r="Q36" i="1"/>
  <c r="T35" i="1"/>
  <c r="Q35" i="1"/>
  <c r="T34" i="1"/>
  <c r="Q34" i="1"/>
  <c r="AB35" i="1" s="1"/>
  <c r="H34" i="1"/>
  <c r="I34" i="1" s="1"/>
  <c r="T33" i="1"/>
  <c r="Q33" i="1"/>
  <c r="T32" i="1"/>
  <c r="Q32" i="1"/>
  <c r="T31" i="1"/>
  <c r="Q31" i="1"/>
  <c r="T30" i="1"/>
  <c r="Q30" i="1"/>
  <c r="T29" i="1"/>
  <c r="Q29" i="1"/>
  <c r="T28" i="1"/>
  <c r="Q28" i="1"/>
  <c r="H28" i="1"/>
  <c r="I28" i="1" s="1"/>
  <c r="T27" i="1"/>
  <c r="Q27" i="1"/>
  <c r="T26" i="1"/>
  <c r="Q26" i="1"/>
  <c r="T25" i="1"/>
  <c r="Q25" i="1"/>
  <c r="T24" i="1"/>
  <c r="Q24" i="1"/>
  <c r="T23" i="1"/>
  <c r="Q23" i="1"/>
  <c r="AB23" i="1" s="1"/>
  <c r="T22" i="1"/>
  <c r="H22" i="1"/>
  <c r="I22" i="1" s="1"/>
  <c r="T21" i="1"/>
  <c r="Q21" i="1"/>
  <c r="T20" i="1"/>
  <c r="Q20" i="1"/>
  <c r="T19" i="1"/>
  <c r="Q19" i="1"/>
  <c r="T18" i="1"/>
  <c r="Q18" i="1"/>
  <c r="T17" i="1"/>
  <c r="T16" i="1"/>
  <c r="Q16" i="1"/>
  <c r="AB17" i="1" s="1"/>
  <c r="H16" i="1"/>
  <c r="I16" i="1" s="1"/>
  <c r="T15" i="1"/>
  <c r="Q15" i="1"/>
  <c r="I15" i="1"/>
  <c r="T14" i="1"/>
  <c r="Q14" i="1"/>
  <c r="I14" i="1"/>
  <c r="T13" i="1"/>
  <c r="Q13" i="1"/>
  <c r="I13" i="1"/>
  <c r="T12" i="1"/>
  <c r="Q12" i="1"/>
  <c r="I12" i="1"/>
  <c r="T11" i="1"/>
  <c r="AB29" i="1" l="1"/>
  <c r="AB20" i="1"/>
  <c r="AA20" i="1" s="1"/>
  <c r="AB21" i="1"/>
  <c r="AA21" i="1" s="1"/>
  <c r="I11" i="1"/>
  <c r="X11" i="1" s="1"/>
  <c r="X34" i="1"/>
  <c r="X28" i="1"/>
  <c r="X22" i="1"/>
  <c r="X16" i="1"/>
  <c r="X20" i="1"/>
  <c r="X21" i="1"/>
  <c r="X15" i="1"/>
  <c r="X14" i="1"/>
  <c r="X13" i="1"/>
  <c r="X12" i="1"/>
  <c r="Y34" i="1" l="1"/>
  <c r="Z34" i="1"/>
  <c r="X35" i="1" s="1"/>
  <c r="Y35" i="1" s="1"/>
  <c r="Y28" i="1"/>
  <c r="Z28" i="1"/>
  <c r="X29" i="1" s="1"/>
  <c r="Z29" i="1" s="1"/>
  <c r="X30" i="1" s="1"/>
  <c r="Y22" i="1"/>
  <c r="Z22" i="1"/>
  <c r="X23" i="1" s="1"/>
  <c r="Z23" i="1" s="1"/>
  <c r="X24" i="1" s="1"/>
  <c r="Y21" i="1"/>
  <c r="Z21" i="1"/>
  <c r="Y20" i="1"/>
  <c r="Z20" i="1"/>
  <c r="Y16" i="1"/>
  <c r="Z16" i="1"/>
  <c r="Y15" i="1"/>
  <c r="Z15" i="1"/>
  <c r="Y14" i="1"/>
  <c r="Z14" i="1"/>
  <c r="Y13" i="1"/>
  <c r="Z13" i="1"/>
  <c r="Y12" i="1"/>
  <c r="Z12" i="1"/>
  <c r="Y11" i="1"/>
  <c r="Z11" i="1"/>
  <c r="Y29" i="1" l="1"/>
  <c r="Y23" i="1"/>
  <c r="Z30" i="1"/>
  <c r="X31" i="1" s="1"/>
  <c r="Y30" i="1"/>
  <c r="Z24" i="1"/>
  <c r="X25" i="1" s="1"/>
  <c r="Y24" i="1"/>
  <c r="Z35" i="1"/>
  <c r="X36" i="1" s="1"/>
  <c r="X17" i="1"/>
  <c r="X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20" i="1"/>
  <c r="AC21" i="1"/>
  <c r="Y31" i="1" l="1"/>
  <c r="Z31" i="1"/>
  <c r="Y25" i="1"/>
  <c r="Z25" i="1"/>
  <c r="X26" i="1" s="1"/>
  <c r="Y18" i="1"/>
  <c r="Z18" i="1"/>
  <c r="X19" i="1" s="1"/>
  <c r="Y36" i="1"/>
  <c r="Z36" i="1"/>
  <c r="X37" i="1" s="1"/>
  <c r="Y17" i="1"/>
  <c r="Z17" i="1"/>
  <c r="Y26" i="1" l="1"/>
  <c r="Z26" i="1"/>
  <c r="X27" i="1" s="1"/>
  <c r="X32" i="1"/>
  <c r="X33" i="1"/>
  <c r="Y19" i="1"/>
  <c r="Z19" i="1"/>
  <c r="Z37" i="1"/>
  <c r="Y37" i="1"/>
  <c r="Y33" i="1" l="1"/>
  <c r="Z33" i="1"/>
  <c r="Y32" i="1"/>
  <c r="Z32" i="1"/>
  <c r="Y27" i="1"/>
  <c r="Z27" i="1"/>
  <c r="X38" i="1"/>
  <c r="X39" i="1"/>
  <c r="X10" i="1"/>
  <c r="Y10" i="1" s="1"/>
  <c r="Y39" i="1" l="1"/>
  <c r="Z39" i="1"/>
  <c r="Y38" i="1"/>
  <c r="Z38" i="1"/>
  <c r="Z10" i="1" l="1"/>
  <c r="AB36" i="1" l="1"/>
  <c r="AB28" i="1"/>
  <c r="AB22" i="1"/>
  <c r="AA22" i="1" s="1"/>
  <c r="AB16" i="1"/>
  <c r="AA16" i="1" s="1"/>
  <c r="AC22"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28" i="1"/>
  <c r="AA35" i="1"/>
  <c r="AA36" i="1"/>
  <c r="AB37" i="1"/>
  <c r="V32" i="19"/>
  <c r="P42" i="19"/>
  <c r="J12" i="19"/>
  <c r="J32" i="19"/>
  <c r="AB52" i="19"/>
  <c r="AC16" i="1"/>
  <c r="J22" i="19"/>
  <c r="V22" i="19"/>
  <c r="J52" i="19"/>
  <c r="AH12" i="19"/>
  <c r="J42" i="19"/>
  <c r="AH42" i="19"/>
  <c r="P32" i="19"/>
  <c r="AB12" i="19"/>
  <c r="AH32" i="19"/>
  <c r="AB32" i="19"/>
  <c r="AB42" i="19"/>
  <c r="V42" i="19"/>
  <c r="V12" i="19"/>
  <c r="V52" i="19"/>
  <c r="AB22" i="19"/>
  <c r="AH52" i="19"/>
  <c r="AH22" i="19"/>
  <c r="P22" i="19"/>
  <c r="P12" i="19"/>
  <c r="P52" i="19"/>
  <c r="AB18" i="1"/>
  <c r="AA18" i="1" s="1"/>
  <c r="AB19" i="1"/>
  <c r="AA19" i="1" s="1"/>
  <c r="AA17" i="1"/>
  <c r="AA23" i="1"/>
  <c r="AB24" i="1"/>
  <c r="AA29" i="1"/>
  <c r="AB30"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37" i="1"/>
  <c r="AB38" i="1"/>
  <c r="K35" i="19"/>
  <c r="AC25" i="19"/>
  <c r="K45" i="19"/>
  <c r="AI45" i="19"/>
  <c r="W45" i="19"/>
  <c r="Q35" i="19"/>
  <c r="K55" i="19"/>
  <c r="AC15" i="19"/>
  <c r="Q15" i="19"/>
  <c r="AC35" i="19"/>
  <c r="AI35" i="19"/>
  <c r="Q55" i="19"/>
  <c r="AI25" i="19"/>
  <c r="AC3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2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2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18" i="1"/>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24" i="1"/>
  <c r="AB25" i="1"/>
  <c r="K42" i="19"/>
  <c r="AC32" i="19"/>
  <c r="W42" i="19"/>
  <c r="AI52" i="19"/>
  <c r="K22" i="19"/>
  <c r="Q32" i="19"/>
  <c r="AI12" i="19"/>
  <c r="AC52" i="19"/>
  <c r="Q42" i="19"/>
  <c r="AC42" i="19"/>
  <c r="K12" i="19"/>
  <c r="Q22" i="19"/>
  <c r="W52" i="19"/>
  <c r="AI42" i="19"/>
  <c r="W32" i="19"/>
  <c r="AI22" i="19"/>
  <c r="W12" i="19"/>
  <c r="AI32" i="19"/>
  <c r="AC12" i="19"/>
  <c r="Q12" i="19"/>
  <c r="Q52" i="19"/>
  <c r="AC17"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30" i="1"/>
  <c r="AB3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23" i="1"/>
  <c r="Q33" i="19"/>
  <c r="AI23" i="19"/>
  <c r="K53" i="19"/>
  <c r="AC23" i="19"/>
  <c r="AC13" i="19"/>
  <c r="W23" i="19"/>
  <c r="W33" i="19"/>
  <c r="Q13" i="19"/>
  <c r="W13" i="19"/>
  <c r="AI13" i="19"/>
  <c r="Q43" i="19"/>
  <c r="Q23" i="19"/>
  <c r="W53" i="19"/>
  <c r="M12" i="19"/>
  <c r="AK42" i="19"/>
  <c r="AE32" i="19"/>
  <c r="AC19" i="1"/>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25" i="1"/>
  <c r="AB26" i="1"/>
  <c r="AA38" i="1"/>
  <c r="AB39" i="1"/>
  <c r="AA39"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24" i="1"/>
  <c r="X23" i="19"/>
  <c r="R33" i="19"/>
  <c r="R43" i="19"/>
  <c r="AD53" i="19"/>
  <c r="AJ13" i="19"/>
  <c r="R23" i="19"/>
  <c r="R13" i="19"/>
  <c r="AJ53" i="19"/>
  <c r="L33" i="19"/>
  <c r="L23" i="19"/>
  <c r="X43" i="19"/>
  <c r="X53" i="19"/>
  <c r="AD13" i="19"/>
  <c r="L53" i="19"/>
  <c r="L13" i="19"/>
  <c r="AD23" i="19"/>
  <c r="AJ33" i="19"/>
  <c r="AJ23" i="19"/>
  <c r="R53" i="19"/>
  <c r="M55" i="19"/>
  <c r="AK15" i="19"/>
  <c r="AE25" i="19"/>
  <c r="AC3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31" i="1"/>
  <c r="AB32"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3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31"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39"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3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6" i="1"/>
  <c r="AB27" i="1"/>
  <c r="AA27"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32" i="1"/>
  <c r="AB33" i="1"/>
  <c r="AA3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25"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33" i="1"/>
  <c r="AA14" i="19"/>
  <c r="O54" i="19"/>
  <c r="U44" i="19"/>
  <c r="U43" i="19"/>
  <c r="U13" i="19"/>
  <c r="AM53" i="19"/>
  <c r="AA53" i="19"/>
  <c r="AA43" i="19"/>
  <c r="O53" i="19"/>
  <c r="O23" i="19"/>
  <c r="O13" i="19"/>
  <c r="AG43" i="19"/>
  <c r="U33" i="19"/>
  <c r="U23" i="19"/>
  <c r="AM13" i="19"/>
  <c r="AM23" i="19"/>
  <c r="AG13" i="19"/>
  <c r="AA23" i="19"/>
  <c r="AG33" i="19"/>
  <c r="AA33" i="19"/>
  <c r="AM33" i="19"/>
  <c r="AA13" i="19"/>
  <c r="AC2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32" i="1"/>
  <c r="AF53" i="19"/>
  <c r="T43" i="19"/>
  <c r="Z53" i="19"/>
  <c r="N43" i="19"/>
  <c r="T23" i="19"/>
  <c r="AF43" i="19"/>
  <c r="Z13" i="19"/>
  <c r="Z43" i="19"/>
  <c r="AF23" i="19"/>
  <c r="AL13" i="19"/>
  <c r="Z23" i="19"/>
  <c r="AL43" i="19"/>
  <c r="AF13" i="19"/>
  <c r="AL23" i="19"/>
  <c r="N13" i="19"/>
  <c r="T33" i="19"/>
  <c r="AL53" i="19"/>
  <c r="N23" i="19"/>
  <c r="N53" i="19"/>
  <c r="AF33" i="19"/>
  <c r="N33" i="19"/>
  <c r="AC2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4" i="1"/>
  <c r="L32" i="18"/>
  <c r="X8" i="18"/>
  <c r="X24" i="18"/>
  <c r="AJ8" i="18"/>
  <c r="M14" i="1"/>
  <c r="AB14" i="1" s="1"/>
  <c r="AA14" i="1" s="1"/>
  <c r="R40" i="18"/>
  <c r="L40" i="18"/>
  <c r="X16" i="18"/>
  <c r="L24" i="18"/>
  <c r="AJ24" i="18"/>
  <c r="X32" i="18"/>
  <c r="AJ40" i="18"/>
  <c r="R16" i="18"/>
  <c r="AD40" i="18"/>
  <c r="AD32" i="18"/>
  <c r="AD16"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J40" i="18"/>
  <c r="AB40" i="18"/>
  <c r="AH32" i="18"/>
  <c r="AB24" i="18"/>
  <c r="V16" i="18"/>
  <c r="M13" i="1"/>
  <c r="AB13" i="1" s="1"/>
  <c r="AA13" i="1" s="1"/>
  <c r="J16" i="18"/>
  <c r="P32" i="18"/>
  <c r="V24" i="18"/>
  <c r="P24" i="18"/>
  <c r="V40" i="18"/>
  <c r="P16" i="18"/>
  <c r="P40" i="18"/>
  <c r="V32" i="18"/>
  <c r="AH16" i="18"/>
  <c r="AB16" i="18"/>
  <c r="V8" i="18"/>
  <c r="AH24" i="18"/>
  <c r="AH8" i="18"/>
  <c r="AH40" i="18"/>
  <c r="J8" i="18"/>
  <c r="AB32" i="18"/>
  <c r="AB8" i="18"/>
  <c r="J24" i="18"/>
  <c r="J32" i="18"/>
  <c r="P8" i="18"/>
  <c r="N13"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F24" i="18"/>
  <c r="AF32" i="18"/>
  <c r="T40" i="18"/>
  <c r="M15" i="1"/>
  <c r="AB15" i="1" s="1"/>
  <c r="AA15" i="1" s="1"/>
  <c r="Z40" i="18"/>
  <c r="AL8" i="18"/>
  <c r="AF8" i="18"/>
  <c r="T8" i="18"/>
  <c r="Z16" i="18"/>
  <c r="T24" i="18"/>
  <c r="AL24" i="18"/>
  <c r="Z32" i="18"/>
  <c r="N32" i="18"/>
  <c r="N16" i="18"/>
  <c r="Z8" i="18"/>
  <c r="AL40" i="18"/>
  <c r="N8" i="18"/>
  <c r="N24" i="18"/>
  <c r="T32" i="18"/>
  <c r="T16" i="18"/>
  <c r="AF40" i="18"/>
  <c r="AF16" i="18"/>
  <c r="AL32" i="18"/>
  <c r="N40" i="18"/>
  <c r="Z24" i="18"/>
  <c r="AL16" i="18"/>
  <c r="N15" i="1"/>
  <c r="J11" i="19" l="1"/>
  <c r="V11" i="19"/>
  <c r="AB21" i="19"/>
  <c r="P31" i="19"/>
  <c r="J31" i="19"/>
  <c r="AB41" i="19"/>
  <c r="AC15" i="1"/>
  <c r="AH41" i="19"/>
  <c r="P41" i="19"/>
  <c r="J21" i="19"/>
  <c r="AB31" i="19"/>
  <c r="AB51" i="19"/>
  <c r="P21" i="19"/>
  <c r="V41" i="19"/>
  <c r="V31" i="19"/>
  <c r="AH21" i="19"/>
  <c r="AB11" i="19"/>
  <c r="P51" i="19"/>
  <c r="V21" i="19"/>
  <c r="AH31" i="19"/>
  <c r="V51" i="19"/>
  <c r="J51" i="19"/>
  <c r="AH51" i="19"/>
  <c r="AH11" i="19"/>
  <c r="J41" i="19"/>
  <c r="P11" i="19"/>
  <c r="J40" i="19"/>
  <c r="AH20" i="19"/>
  <c r="V20" i="19"/>
  <c r="P10" i="19"/>
  <c r="J50" i="19"/>
  <c r="P30" i="19"/>
  <c r="P50" i="19"/>
  <c r="AH30" i="19"/>
  <c r="J10" i="19"/>
  <c r="AH50" i="19"/>
  <c r="V10" i="19"/>
  <c r="J20" i="19"/>
  <c r="V40" i="19"/>
  <c r="V30" i="19"/>
  <c r="J30" i="19"/>
  <c r="AH10" i="19"/>
  <c r="AB50" i="19"/>
  <c r="AB40" i="19"/>
  <c r="V50" i="19"/>
  <c r="AB10" i="19"/>
  <c r="AH40" i="19"/>
  <c r="AB20" i="19"/>
  <c r="AC14" i="1"/>
  <c r="P20" i="19"/>
  <c r="P40" i="19"/>
  <c r="AB30" i="19"/>
  <c r="AC13" i="1"/>
  <c r="AB39" i="19"/>
  <c r="P39" i="19"/>
  <c r="AB9" i="19"/>
  <c r="V9" i="19"/>
  <c r="J29" i="19"/>
  <c r="V29" i="19"/>
  <c r="AB49" i="19"/>
  <c r="P49" i="19"/>
  <c r="P19" i="19"/>
  <c r="AH39" i="19"/>
  <c r="AH19" i="19"/>
  <c r="AB19" i="19"/>
  <c r="AH49" i="19"/>
  <c r="V39" i="19"/>
  <c r="J19" i="19"/>
  <c r="AB29" i="19"/>
  <c r="J49" i="19"/>
  <c r="V19" i="19"/>
  <c r="AH29" i="19"/>
  <c r="J39" i="19"/>
  <c r="P9" i="19"/>
  <c r="AH9" i="19"/>
  <c r="P29" i="19"/>
  <c r="V49" i="19"/>
  <c r="J9" i="19"/>
  <c r="AC12" i="1"/>
  <c r="P18" i="19"/>
  <c r="P38" i="19"/>
  <c r="J28" i="19"/>
  <c r="AH38" i="19"/>
  <c r="J48" i="19"/>
  <c r="P48" i="19"/>
  <c r="V28" i="19"/>
  <c r="AB18" i="19"/>
  <c r="AB8" i="19"/>
  <c r="J8" i="19"/>
  <c r="P28" i="19"/>
  <c r="J18" i="19"/>
  <c r="AH8" i="19"/>
  <c r="AB28" i="19"/>
  <c r="AB48" i="19"/>
  <c r="V38" i="19"/>
  <c r="V8" i="19"/>
  <c r="AH28" i="19"/>
  <c r="AH48" i="19"/>
  <c r="AB38" i="19"/>
  <c r="AH18" i="19"/>
  <c r="V48" i="19"/>
  <c r="V18" i="19"/>
  <c r="P8" i="19"/>
  <c r="J3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K15" i="1" l="1"/>
  <c r="K10" i="1"/>
  <c r="K13" i="1"/>
  <c r="K12" i="1"/>
  <c r="K22" i="1"/>
  <c r="L22" i="1" s="1"/>
  <c r="K16" i="1"/>
  <c r="L16" i="1" s="1"/>
  <c r="K14" i="1"/>
  <c r="K11" i="1"/>
  <c r="K34" i="1"/>
  <c r="L34" i="1" s="1"/>
  <c r="K28" i="1"/>
  <c r="L28" i="1" s="1"/>
  <c r="Z42" i="18" l="1"/>
  <c r="T18" i="18"/>
  <c r="AF34" i="18"/>
  <c r="AF42" i="18"/>
  <c r="N42" i="18"/>
  <c r="Z18" i="18"/>
  <c r="AL10" i="18"/>
  <c r="AL26" i="18"/>
  <c r="AF26" i="18"/>
  <c r="Z10" i="18"/>
  <c r="N18" i="18"/>
  <c r="T26" i="18"/>
  <c r="AF10" i="18"/>
  <c r="T34" i="18"/>
  <c r="N26" i="18"/>
  <c r="AL18" i="18"/>
  <c r="N10" i="18"/>
  <c r="AF18" i="18"/>
  <c r="Z26" i="18"/>
  <c r="AL34" i="18"/>
  <c r="M28" i="1"/>
  <c r="Z34" i="18"/>
  <c r="T10" i="18"/>
  <c r="N28" i="1"/>
  <c r="AL42" i="18"/>
  <c r="N34" i="18"/>
  <c r="T42" i="18"/>
  <c r="AH12" i="18"/>
  <c r="J20" i="18"/>
  <c r="J44" i="18"/>
  <c r="AB28" i="18"/>
  <c r="P28" i="18"/>
  <c r="N34" i="1"/>
  <c r="P12" i="18"/>
  <c r="AH20" i="18"/>
  <c r="P44" i="18"/>
  <c r="AB12" i="18"/>
  <c r="P20" i="18"/>
  <c r="J36" i="18"/>
  <c r="P36" i="18"/>
  <c r="AB44" i="18"/>
  <c r="V44" i="18"/>
  <c r="J28" i="18"/>
  <c r="AH36" i="18"/>
  <c r="V12" i="18"/>
  <c r="V28" i="18"/>
  <c r="AH44" i="18"/>
  <c r="AB20" i="18"/>
  <c r="AB36" i="18"/>
  <c r="AH28" i="18"/>
  <c r="V36" i="18"/>
  <c r="V20" i="18"/>
  <c r="M34" i="1"/>
  <c r="AB34" i="1" s="1"/>
  <c r="AA34" i="1" s="1"/>
  <c r="J12" i="18"/>
  <c r="M16" i="1"/>
  <c r="J42" i="18"/>
  <c r="P34" i="18"/>
  <c r="AB18" i="18"/>
  <c r="AB42" i="18"/>
  <c r="AH34" i="18"/>
  <c r="P10" i="18"/>
  <c r="V34" i="18"/>
  <c r="P42" i="18"/>
  <c r="V42" i="18"/>
  <c r="AH42" i="18"/>
  <c r="AB26" i="18"/>
  <c r="AH26" i="18"/>
  <c r="V26" i="18"/>
  <c r="AB34" i="18"/>
  <c r="V10" i="18"/>
  <c r="AH18" i="18"/>
  <c r="J34" i="18"/>
  <c r="J10" i="18"/>
  <c r="AB10" i="18"/>
  <c r="J18" i="18"/>
  <c r="N16" i="1"/>
  <c r="P26" i="18"/>
  <c r="J26" i="18"/>
  <c r="AH10" i="18"/>
  <c r="P18" i="18"/>
  <c r="V18" i="18"/>
  <c r="X42" i="18"/>
  <c r="AD34" i="18"/>
  <c r="AD10" i="18"/>
  <c r="AD26" i="18"/>
  <c r="L10" i="18"/>
  <c r="L42" i="18"/>
  <c r="L26" i="18"/>
  <c r="X18" i="18"/>
  <c r="X34" i="18"/>
  <c r="X10" i="18"/>
  <c r="R18" i="18"/>
  <c r="AJ10" i="18"/>
  <c r="AD42" i="18"/>
  <c r="AJ34" i="18"/>
  <c r="R26" i="18"/>
  <c r="M22" i="1"/>
  <c r="L18" i="18"/>
  <c r="AJ26" i="18"/>
  <c r="AD18" i="18"/>
  <c r="R34" i="18"/>
  <c r="L34" i="18"/>
  <c r="AJ42" i="18"/>
  <c r="R10" i="18"/>
  <c r="R42" i="18"/>
  <c r="X26" i="18"/>
  <c r="AJ18" i="18"/>
  <c r="N22" i="1"/>
  <c r="V25" i="19" l="1"/>
  <c r="V45" i="19"/>
  <c r="J15" i="19"/>
  <c r="AB45" i="19"/>
  <c r="AH25" i="19"/>
  <c r="AH55" i="19"/>
  <c r="AB15" i="19"/>
  <c r="P15" i="19"/>
  <c r="P45" i="19"/>
  <c r="V15" i="19"/>
  <c r="J35" i="19"/>
  <c r="AH45" i="19"/>
  <c r="J25" i="19"/>
  <c r="AB35" i="19"/>
  <c r="AH15" i="19"/>
  <c r="V35" i="19"/>
  <c r="J55" i="19"/>
  <c r="AB55" i="19"/>
  <c r="AC34" i="1"/>
  <c r="AB25" i="19"/>
  <c r="AH35" i="19"/>
  <c r="P55" i="19"/>
  <c r="J45" i="19"/>
  <c r="P25" i="19"/>
  <c r="P35" i="19"/>
  <c r="V5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<sst xmlns="http://schemas.openxmlformats.org/spreadsheetml/2006/main" count="417" uniqueCount="246">
  <si>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</si>
  <si>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</si>
  <si>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</si>
  <si>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</si>
  <si>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</si>
  <si>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</si>
  <si>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</si>
  <si>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</si>
  <si>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</si>
  <si>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</si>
  <si>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</si>
  <si>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</si>
  <si>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</si>
  <si>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</si>
  <si>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</si>
  <si>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</si>
  <si>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</si>
  <si>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</si>
  <si>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</si>
  <si>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</si>
  <si>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</si>
  <si>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</si>
  <si>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</si>
  <si>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</si>
  <si>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</si>
  <si>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</si>
  <si>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</si>
  <si>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</si>
  <si>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</si>
  <si>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</si>
  <si>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</si>
  <si>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</si>
  <si>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</si>
  <si>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</si>
  <si>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</si>
  <si>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</si>
  <si>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</si>
  <si>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</si>
  <si>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</si>
  <si>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</si>
  <si>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</si>
  <si>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</si>
  <si>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</si>
  <si>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</si>
  <si>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</si>
  <si>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</si>
  <si>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</si>
  <si>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</si>
  <si>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</si>
  <si>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</si>
  <si>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</si>
  <si>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</si>
  <si>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</si>
  <si>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</si>
  <si>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</si>
  <si>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</si>
  <si>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</si>
  <si>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</si>
  <si>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</si>
  <si>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</si>
  <si>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</si>
  <si>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</si>
  <si>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</si>
  <si>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</si>
  <si>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</si>
  <si>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</si>
  <si>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</si>
  <si>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</si>
  <si>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</si>
  <si>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</si>
  <si>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</si>
  <si>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</si>
  <si>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</si>
  <si>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</si>
  <si>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</si>
  <si>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</si>
  <si>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</si>
  <si>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</si>
  <si>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</si>
  <si>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</si>
  <si>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</si>
  <si>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</si>
  <si>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</si>
  <si>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</si>
  <si>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</si>
  <si>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</si>
  <si>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</si>
  <si>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</si>
  <si>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</si>
  <si>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</si>
  <si>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</si>
  <si>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</si>
  <si>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</si>
  <si>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</si>
  <si>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</si>
  <si>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</si>
  <si>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</si>
  <si>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</si>
  <si>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</si>
  <si>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</si>
  <si>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</si>
  <si>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</si>
  <si>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</si>
  <si>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</si>
  <si>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</si>
  <si>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</si>
  <si>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</si>
  <si>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</si>
  <si>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</si>
  <si>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</si>
  <si>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</si>
  <si>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</si>
  <si>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</si>
  <si>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</si>
  <si>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</si>
  <si>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</si>
  <si>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</si>
  <si>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</si>
  <si>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</si>
  <si>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</si>
  <si>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</si>
  <si>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</si>
  <si>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</si>
  <si>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</si>
  <si>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</si>
  <si>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</si>
  <si>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</si>
  <si>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</si>
  <si>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</si>
  <si>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</si>
  <si>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</si>
  <si>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</si>
  <si>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</si>
  <si>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</si>
  <si>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</si>
  <si>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</si>
  <si>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</si>
  <si>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</si>
  <si>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</si>
  <si>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</si>
  <si>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</si>
  <si>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</si>
  <si>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</si>
  <si>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</si>
  <si>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</si>
  <si>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</si>
  <si>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</si>
  <si>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</si>
  <si>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</si>
  <si>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</si>
  <si>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</si>
  <si>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</si>
  <si>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</si>
  <si>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</si>
  <si>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</si>
  <si>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</si>
  <si>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</si>
  <si>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</si>
  <si>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</si>
  <si>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</si>
  <si>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</si>
  <si>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</si>
  <si>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</si>
  <si>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</si>
  <si>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</si>
  <si>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</si>
  <si>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</si>
  <si>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</si>
  <si>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</si>
  <si>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</si>
  <si>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</si>
  <si>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</si>
  <si>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</si>
  <si>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</si>
  <si>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</si>
  <si>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</si>
  <si>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</si>
  <si>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</si>
  <si>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</si>
  <si>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</si>
  <si>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</si>
  <si>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</si>
  <si>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</si>
  <si>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</si>
  <si>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</si>
  <si>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</si>
  <si>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</si>
  <si>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</si>
  <si>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</si>
  <si>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</si>
  <si>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</si>
  <si>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</si>
  <si>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</si>
  <si>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</si>
  <si>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</si>
  <si>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</si>
  <si>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</si>
  <si>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</si>
  <si>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</si>
  <si>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</si>
  <si>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</si>
  <si>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</si>
  <si>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</si>
  <si>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</si>
  <si>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</si>
  <si>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</si>
  <si>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</si>
  <si>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</si>
  <si>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</si>
  <si>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</si>
  <si>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</si>
  <si>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</si>
  <si>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</si>
  <si>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</si>
  <si>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Desarrollar las acciones de planeación en pro del mejoramiento continuo y la competitividad, mediante la formulación, control, evaluación y seguimiento de los diferentes instrumentos de planeación, de manera coherente con el Plan Estratégico de la Entidad y el Plan de Desarrollo Departamental, articulando los procesos y procedimientos con las entidades de orden local, regional y nacional.</t>
  </si>
  <si>
    <t>Inicia con la planeación de las actividades y culmina con el seguimiento y evaluación del proceso</t>
  </si>
  <si>
    <t>Cambios de Normatividad  DESCRIPCION                                 Incumplimiento en la documentación que debe presentarse a los Entes de control y Orgaizasmo certificador del SIG  por errores en la Planeación generada por cambios normativos que afecten el proceso de documentación</t>
  </si>
  <si>
    <t>Imposibilidad de ejerer la actividad misional de financiamiento afectando los ingresos de la Entidad.</t>
  </si>
  <si>
    <t>ANUAL</t>
  </si>
  <si>
    <t>MEDIA</t>
  </si>
  <si>
    <t>MODERADO</t>
  </si>
  <si>
    <t>Plan Estratégico
Plan de Acción
Políticas del SIG 
Normas ISO 9001 
Actas de Comité Institucional de Gestión y Desempeño</t>
  </si>
  <si>
    <t>PROBABILIDAD</t>
  </si>
  <si>
    <t xml:space="preserve">Actualización periódica del Normograma, consultando en las páginas web de entidades como el DAFP o el Congreso de la República cambios en la normatividad que define MIPG.
Programación de capacitaciones y/o jornadas de Reinducción. 
Comités de seguimiento o mesas de trabajo. 
</t>
  </si>
  <si>
    <t>Representante de la Alta Dirección para MIPG</t>
  </si>
  <si>
    <t xml:space="preserve">Falta de control en el manejo de la información relacionada con la Planeación Estratégica de la Entidad    DESCRIPCION                                Los documentos y registros que hacen parte del SIG, no se encuentran actualizados en sus últimas versiones, o no se ha realizado la publicación de los mismos. Se presenta el uso de doucmentos obsoletos </t>
  </si>
  <si>
    <t>Desconocimiento, en el control de documentos
Errores al ingreso de información en la plataforma Web 
Los responsables de procesos no entregan la información de manera oportuna.</t>
  </si>
  <si>
    <t>ALTA</t>
  </si>
  <si>
    <t>Procedimiento de elaboración y control de documentos
'Actas de Comités Institucionales de Gestión y Desempeño en donde se aprueban los documentos</t>
  </si>
  <si>
    <t>Capacitación para los líderes de procesos y de manera particular para el responsable del proceso de gestión del SIG y el profesional que opera la plataforma
Jornadas de inducción y/o reinducción
Seguimiento a la plataforma www.integrainfibague.com</t>
  </si>
  <si>
    <t>Cultura de gestión del SIGas establecidos, programación de actividades inalcanzables</t>
  </si>
  <si>
    <t xml:space="preserve">Incumplimiento de la primera línea de defensa en el seguimiento a la Planeación Institucional y los procesos, incluídos los riesgos                                    DESCRIPCION                                  Incumplimiento en la entrega de informes a la Gerencia y demás órganos de control, debido al retraso o falta de autoseguimiento de los dueños de procesos sobre sus mapas de riesgos. </t>
  </si>
  <si>
    <t>Estado de avance de la consolidación de información para el informe de Revisión por la Dirección</t>
  </si>
  <si>
    <t>Demora de reportes                   DESCRIPCION                          'Incumplimiento en el reporte de la información necesaria para generar planes, programas, proyectos e informes de seguimiento. Cliente Interno</t>
  </si>
  <si>
    <t xml:space="preserve">Desconocimiento del procedimiento de planeacion. Falta de Divulgación del proceso </t>
  </si>
  <si>
    <t>Verificación permanente de las actividades a desarrollar, los tiempos de entrega y responsables de entrega de la informacion</t>
  </si>
  <si>
    <t>No. de acciones correctivas o de mejora resultantes de la evaluación y seguimiento del proceso</t>
  </si>
  <si>
    <t>Incumplimiento en la generación de planes, programas, proyectos e informes de seguimiento.                    DESCRIPCION                                 'Demoras en los tiempos de entrega para la  generación y/o actualización de planes, programas, proyectos e informes de seguimiento.</t>
  </si>
  <si>
    <t xml:space="preserve">Desconocimiento del procedimiento de planeacion de los dueños de procesos. Falta de Divulgación del proceso </t>
  </si>
  <si>
    <t>BAJA</t>
  </si>
  <si>
    <t>Inexactitud en la Información  DESCRIPCION                                      'Inexactitud en La Información utilizada para Generar Planes, Programas, Proyectos e Informes de Seguimiento.</t>
  </si>
  <si>
    <t xml:space="preserve">Información errada suministrada por el responsable. 
Desconocimiento del manejo de herramientas informaticas para el tratamiento de datos.
</t>
  </si>
  <si>
    <t>Manual del SIG
Auditorías internas al SIG</t>
  </si>
  <si>
    <t>Documentos del SIG
Auditorías internas al SIG</t>
  </si>
  <si>
    <t>Permanente
2024</t>
  </si>
  <si>
    <t>GESTION ESTRATEGICA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</si>
</sst>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name val="Arial"/>
      <family val="2"/>
    </font>
    <font>
      <b/>
      <sz val="16"/>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59" fillId="3" borderId="33" xfId="0" quotePrefix="1" applyFont="1" applyFill="1" applyBorder="1" applyAlignment="1">
      <alignment horizontal="center" vertical="center" wrapText="1"/>
    </xf>
    <xf numFmtId="0" fontId="48" fillId="0" borderId="33" xfId="0" applyFont="1" applyBorder="1" applyAlignment="1">
      <alignment horizontal="center" vertical="center" wrapText="1"/>
    </xf>
    <xf numFmtId="14" fontId="48" fillId="0" borderId="33" xfId="0" applyNumberFormat="1" applyFont="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4" fillId="2" borderId="2" xfId="0" applyFont="1" applyFill="1" applyBorder="1" applyAlignment="1">
      <alignment horizontal="center" vertical="center" wrapText="1"/>
    </xf>
    <xf numFmtId="0" fontId="48" fillId="0" borderId="35" xfId="0" applyFont="1" applyBorder="1" applyAlignment="1">
      <alignment horizontal="left" vertical="center" wrapText="1"/>
    </xf>
    <xf numFmtId="0" fontId="48" fillId="0" borderId="36" xfId="0" applyFont="1" applyBorder="1" applyAlignment="1">
      <alignment horizontal="left" vertical="center" wrapText="1"/>
    </xf>
    <xf numFmtId="0" fontId="48" fillId="0" borderId="47" xfId="0" applyFont="1" applyBorder="1" applyAlignment="1">
      <alignment horizontal="left" vertical="center" wrapText="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 fillId="3" borderId="0" xfId="0" applyFont="1" applyFill="1" applyAlignment="1">
      <alignment horizontal="left" vertical="center"/>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60" fillId="3" borderId="6" xfId="0" applyFont="1" applyFill="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FF9C0006"/>
      </font>
      <fill>
        <patternFill>
          <bgColor rgb="FFFFC7CE"/>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166006</xdr:colOff>
      <xdr:row>2</xdr:row>
      <xdr:rowOff>187098</xdr:rowOff>
    </xdr:from>
    <xdr:to>
      <xdr:col>21</xdr:col>
      <xdr:colOff>429987</xdr:colOff>
      <xdr:row>5</xdr:row>
      <xdr:rowOff>502784</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80100" y="710973"/>
          <a:ext cx="1895137" cy="12443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8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8" t="s">
        <v>166</v>
      </c>
      <c r="C2" s="149"/>
      <c r="D2" s="149"/>
      <c r="E2" s="149"/>
      <c r="F2" s="149"/>
      <c r="G2" s="149"/>
      <c r="H2" s="150"/>
    </row>
    <row r="3" spans="2:8" x14ac:dyDescent="0.25">
      <c r="B3" s="84"/>
      <c r="C3" s="85"/>
      <c r="D3" s="85"/>
      <c r="E3" s="85"/>
      <c r="F3" s="85"/>
      <c r="G3" s="85"/>
      <c r="H3" s="86"/>
    </row>
    <row r="4" spans="2:8" ht="63" customHeight="1" x14ac:dyDescent="0.25">
      <c r="B4" s="151" t="s">
        <v>209</v>
      </c>
      <c r="C4" s="152"/>
      <c r="D4" s="152"/>
      <c r="E4" s="152"/>
      <c r="F4" s="152"/>
      <c r="G4" s="152"/>
      <c r="H4" s="153"/>
    </row>
    <row r="5" spans="2:8" ht="63" customHeight="1" x14ac:dyDescent="0.25">
      <c r="B5" s="154"/>
      <c r="C5" s="155"/>
      <c r="D5" s="155"/>
      <c r="E5" s="155"/>
      <c r="F5" s="155"/>
      <c r="G5" s="155"/>
      <c r="H5" s="156"/>
    </row>
    <row r="6" spans="2:8" ht="16.5" x14ac:dyDescent="0.25">
      <c r="B6" s="157" t="s">
        <v>164</v>
      </c>
      <c r="C6" s="158"/>
      <c r="D6" s="158"/>
      <c r="E6" s="158"/>
      <c r="F6" s="158"/>
      <c r="G6" s="158"/>
      <c r="H6" s="159"/>
    </row>
    <row r="7" spans="2:8" ht="95.25" customHeight="1" x14ac:dyDescent="0.25">
      <c r="B7" s="167" t="s">
        <v>169</v>
      </c>
      <c r="C7" s="168"/>
      <c r="D7" s="168"/>
      <c r="E7" s="168"/>
      <c r="F7" s="168"/>
      <c r="G7" s="168"/>
      <c r="H7" s="169"/>
    </row>
    <row r="8" spans="2:8" ht="16.5" x14ac:dyDescent="0.25">
      <c r="B8" s="120"/>
      <c r="C8" s="121"/>
      <c r="D8" s="121"/>
      <c r="E8" s="121"/>
      <c r="F8" s="121"/>
      <c r="G8" s="121"/>
      <c r="H8" s="122"/>
    </row>
    <row r="9" spans="2:8" ht="16.5" customHeight="1" x14ac:dyDescent="0.25">
      <c r="B9" s="160" t="s">
        <v>202</v>
      </c>
      <c r="C9" s="161"/>
      <c r="D9" s="161"/>
      <c r="E9" s="161"/>
      <c r="F9" s="161"/>
      <c r="G9" s="161"/>
      <c r="H9" s="162"/>
    </row>
    <row r="10" spans="2:8" ht="44.25" customHeight="1" x14ac:dyDescent="0.25">
      <c r="B10" s="160"/>
      <c r="C10" s="161"/>
      <c r="D10" s="161"/>
      <c r="E10" s="161"/>
      <c r="F10" s="161"/>
      <c r="G10" s="161"/>
      <c r="H10" s="162"/>
    </row>
    <row r="11" spans="2:8" ht="15.75" thickBot="1" x14ac:dyDescent="0.3">
      <c r="B11" s="109"/>
      <c r="C11" s="112"/>
      <c r="D11" s="117"/>
      <c r="E11" s="118"/>
      <c r="F11" s="118"/>
      <c r="G11" s="119"/>
      <c r="H11" s="113"/>
    </row>
    <row r="12" spans="2:8" ht="15.75" thickTop="1" x14ac:dyDescent="0.25">
      <c r="B12" s="109"/>
      <c r="C12" s="163" t="s">
        <v>165</v>
      </c>
      <c r="D12" s="164"/>
      <c r="E12" s="165" t="s">
        <v>203</v>
      </c>
      <c r="F12" s="166"/>
      <c r="G12" s="112"/>
      <c r="H12" s="113"/>
    </row>
    <row r="13" spans="2:8" ht="35.25" customHeight="1" x14ac:dyDescent="0.25">
      <c r="B13" s="109"/>
      <c r="C13" s="170" t="s">
        <v>196</v>
      </c>
      <c r="D13" s="171"/>
      <c r="E13" s="172" t="s">
        <v>201</v>
      </c>
      <c r="F13" s="173"/>
      <c r="G13" s="112"/>
      <c r="H13" s="113"/>
    </row>
    <row r="14" spans="2:8" ht="17.25" customHeight="1" x14ac:dyDescent="0.25">
      <c r="B14" s="109"/>
      <c r="C14" s="170" t="s">
        <v>197</v>
      </c>
      <c r="D14" s="171"/>
      <c r="E14" s="172" t="s">
        <v>199</v>
      </c>
      <c r="F14" s="173"/>
      <c r="G14" s="112"/>
      <c r="H14" s="113"/>
    </row>
    <row r="15" spans="2:8" ht="19.5" customHeight="1" x14ac:dyDescent="0.25">
      <c r="B15" s="109"/>
      <c r="C15" s="170" t="s">
        <v>198</v>
      </c>
      <c r="D15" s="171"/>
      <c r="E15" s="172" t="s">
        <v>200</v>
      </c>
      <c r="F15" s="173"/>
      <c r="G15" s="112"/>
      <c r="H15" s="113"/>
    </row>
    <row r="16" spans="2:8" ht="69.75" customHeight="1" x14ac:dyDescent="0.25">
      <c r="B16" s="109"/>
      <c r="C16" s="170" t="s">
        <v>167</v>
      </c>
      <c r="D16" s="171"/>
      <c r="E16" s="172" t="s">
        <v>168</v>
      </c>
      <c r="F16" s="173"/>
      <c r="G16" s="112"/>
      <c r="H16" s="113"/>
    </row>
    <row r="17" spans="2:8" ht="34.5" customHeight="1" x14ac:dyDescent="0.25">
      <c r="B17" s="109"/>
      <c r="C17" s="174" t="s">
        <v>2</v>
      </c>
      <c r="D17" s="175"/>
      <c r="E17" s="176" t="s">
        <v>210</v>
      </c>
      <c r="F17" s="177"/>
      <c r="G17" s="112"/>
      <c r="H17" s="113"/>
    </row>
    <row r="18" spans="2:8" ht="27.75" customHeight="1" x14ac:dyDescent="0.25">
      <c r="B18" s="109"/>
      <c r="C18" s="174" t="s">
        <v>3</v>
      </c>
      <c r="D18" s="175"/>
      <c r="E18" s="176" t="s">
        <v>211</v>
      </c>
      <c r="F18" s="177"/>
      <c r="G18" s="112"/>
      <c r="H18" s="113"/>
    </row>
    <row r="19" spans="2:8" ht="28.5" customHeight="1" x14ac:dyDescent="0.25">
      <c r="B19" s="109"/>
      <c r="C19" s="174" t="s">
        <v>42</v>
      </c>
      <c r="D19" s="175"/>
      <c r="E19" s="176" t="s">
        <v>212</v>
      </c>
      <c r="F19" s="177"/>
      <c r="G19" s="112"/>
      <c r="H19" s="113"/>
    </row>
    <row r="20" spans="2:8" ht="72.75" customHeight="1" x14ac:dyDescent="0.25">
      <c r="B20" s="109"/>
      <c r="C20" s="174" t="s">
        <v>1</v>
      </c>
      <c r="D20" s="175"/>
      <c r="E20" s="176" t="s">
        <v>213</v>
      </c>
      <c r="F20" s="177"/>
      <c r="G20" s="112"/>
      <c r="H20" s="113"/>
    </row>
    <row r="21" spans="2:8" ht="64.5" customHeight="1" x14ac:dyDescent="0.25">
      <c r="B21" s="109"/>
      <c r="C21" s="174" t="s">
        <v>50</v>
      </c>
      <c r="D21" s="175"/>
      <c r="E21" s="176" t="s">
        <v>171</v>
      </c>
      <c r="F21" s="177"/>
      <c r="G21" s="112"/>
      <c r="H21" s="113"/>
    </row>
    <row r="22" spans="2:8" ht="71.25" customHeight="1" x14ac:dyDescent="0.25">
      <c r="B22" s="109"/>
      <c r="C22" s="174" t="s">
        <v>170</v>
      </c>
      <c r="D22" s="175"/>
      <c r="E22" s="176" t="s">
        <v>172</v>
      </c>
      <c r="F22" s="177"/>
      <c r="G22" s="112"/>
      <c r="H22" s="113"/>
    </row>
    <row r="23" spans="2:8" ht="55.5" customHeight="1" x14ac:dyDescent="0.25">
      <c r="B23" s="109"/>
      <c r="C23" s="181" t="s">
        <v>173</v>
      </c>
      <c r="D23" s="182"/>
      <c r="E23" s="176" t="s">
        <v>174</v>
      </c>
      <c r="F23" s="177"/>
      <c r="G23" s="112"/>
      <c r="H23" s="113"/>
    </row>
    <row r="24" spans="2:8" ht="42" customHeight="1" x14ac:dyDescent="0.25">
      <c r="B24" s="109"/>
      <c r="C24" s="181" t="s">
        <v>48</v>
      </c>
      <c r="D24" s="182"/>
      <c r="E24" s="176" t="s">
        <v>175</v>
      </c>
      <c r="F24" s="177"/>
      <c r="G24" s="112"/>
      <c r="H24" s="113"/>
    </row>
    <row r="25" spans="2:8" ht="59.25" customHeight="1" x14ac:dyDescent="0.25">
      <c r="B25" s="109"/>
      <c r="C25" s="181" t="s">
        <v>163</v>
      </c>
      <c r="D25" s="182"/>
      <c r="E25" s="176" t="s">
        <v>176</v>
      </c>
      <c r="F25" s="177"/>
      <c r="G25" s="112"/>
      <c r="H25" s="113"/>
    </row>
    <row r="26" spans="2:8" ht="23.25" customHeight="1" x14ac:dyDescent="0.25">
      <c r="B26" s="109"/>
      <c r="C26" s="181" t="s">
        <v>12</v>
      </c>
      <c r="D26" s="182"/>
      <c r="E26" s="176" t="s">
        <v>177</v>
      </c>
      <c r="F26" s="177"/>
      <c r="G26" s="112"/>
      <c r="H26" s="113"/>
    </row>
    <row r="27" spans="2:8" ht="30.75" customHeight="1" x14ac:dyDescent="0.25">
      <c r="B27" s="109"/>
      <c r="C27" s="181" t="s">
        <v>181</v>
      </c>
      <c r="D27" s="182"/>
      <c r="E27" s="176" t="s">
        <v>178</v>
      </c>
      <c r="F27" s="177"/>
      <c r="G27" s="112"/>
      <c r="H27" s="113"/>
    </row>
    <row r="28" spans="2:8" ht="35.25" customHeight="1" x14ac:dyDescent="0.25">
      <c r="B28" s="109"/>
      <c r="C28" s="181" t="s">
        <v>182</v>
      </c>
      <c r="D28" s="182"/>
      <c r="E28" s="176" t="s">
        <v>179</v>
      </c>
      <c r="F28" s="177"/>
      <c r="G28" s="112"/>
      <c r="H28" s="113"/>
    </row>
    <row r="29" spans="2:8" ht="33" customHeight="1" x14ac:dyDescent="0.25">
      <c r="B29" s="109"/>
      <c r="C29" s="181" t="s">
        <v>182</v>
      </c>
      <c r="D29" s="182"/>
      <c r="E29" s="176" t="s">
        <v>179</v>
      </c>
      <c r="F29" s="177"/>
      <c r="G29" s="112"/>
      <c r="H29" s="113"/>
    </row>
    <row r="30" spans="2:8" ht="30" customHeight="1" x14ac:dyDescent="0.25">
      <c r="B30" s="109"/>
      <c r="C30" s="181" t="s">
        <v>183</v>
      </c>
      <c r="D30" s="182"/>
      <c r="E30" s="176" t="s">
        <v>180</v>
      </c>
      <c r="F30" s="177"/>
      <c r="G30" s="112"/>
      <c r="H30" s="113"/>
    </row>
    <row r="31" spans="2:8" ht="35.25" customHeight="1" x14ac:dyDescent="0.25">
      <c r="B31" s="109"/>
      <c r="C31" s="181" t="s">
        <v>184</v>
      </c>
      <c r="D31" s="182"/>
      <c r="E31" s="176" t="s">
        <v>185</v>
      </c>
      <c r="F31" s="177"/>
      <c r="G31" s="112"/>
      <c r="H31" s="113"/>
    </row>
    <row r="32" spans="2:8" ht="31.5" customHeight="1" x14ac:dyDescent="0.25">
      <c r="B32" s="109"/>
      <c r="C32" s="181" t="s">
        <v>186</v>
      </c>
      <c r="D32" s="182"/>
      <c r="E32" s="176" t="s">
        <v>187</v>
      </c>
      <c r="F32" s="177"/>
      <c r="G32" s="112"/>
      <c r="H32" s="113"/>
    </row>
    <row r="33" spans="2:8" ht="35.25" customHeight="1" x14ac:dyDescent="0.25">
      <c r="B33" s="109"/>
      <c r="C33" s="181" t="s">
        <v>188</v>
      </c>
      <c r="D33" s="182"/>
      <c r="E33" s="176" t="s">
        <v>189</v>
      </c>
      <c r="F33" s="177"/>
      <c r="G33" s="112"/>
      <c r="H33" s="113"/>
    </row>
    <row r="34" spans="2:8" ht="59.25" customHeight="1" x14ac:dyDescent="0.25">
      <c r="B34" s="109"/>
      <c r="C34" s="181" t="s">
        <v>190</v>
      </c>
      <c r="D34" s="182"/>
      <c r="E34" s="176" t="s">
        <v>191</v>
      </c>
      <c r="F34" s="177"/>
      <c r="G34" s="112"/>
      <c r="H34" s="113"/>
    </row>
    <row r="35" spans="2:8" ht="29.25" customHeight="1" x14ac:dyDescent="0.25">
      <c r="B35" s="109"/>
      <c r="C35" s="181" t="s">
        <v>29</v>
      </c>
      <c r="D35" s="182"/>
      <c r="E35" s="176" t="s">
        <v>192</v>
      </c>
      <c r="F35" s="177"/>
      <c r="G35" s="112"/>
      <c r="H35" s="113"/>
    </row>
    <row r="36" spans="2:8" ht="82.5" customHeight="1" x14ac:dyDescent="0.25">
      <c r="B36" s="109"/>
      <c r="C36" s="181" t="s">
        <v>194</v>
      </c>
      <c r="D36" s="182"/>
      <c r="E36" s="176" t="s">
        <v>193</v>
      </c>
      <c r="F36" s="177"/>
      <c r="G36" s="112"/>
      <c r="H36" s="113"/>
    </row>
    <row r="37" spans="2:8" ht="46.5" customHeight="1" x14ac:dyDescent="0.25">
      <c r="B37" s="109"/>
      <c r="C37" s="181" t="s">
        <v>39</v>
      </c>
      <c r="D37" s="182"/>
      <c r="E37" s="176" t="s">
        <v>195</v>
      </c>
      <c r="F37" s="177"/>
      <c r="G37" s="112"/>
      <c r="H37" s="113"/>
    </row>
    <row r="38" spans="2:8" ht="6.75" customHeight="1" thickBot="1" x14ac:dyDescent="0.3">
      <c r="B38" s="109"/>
      <c r="C38" s="183"/>
      <c r="D38" s="184"/>
      <c r="E38" s="185"/>
      <c r="F38" s="186"/>
      <c r="G38" s="112"/>
      <c r="H38" s="113"/>
    </row>
    <row r="39" spans="2:8" ht="15.75" thickTop="1" x14ac:dyDescent="0.25">
      <c r="B39" s="109"/>
      <c r="C39" s="110"/>
      <c r="D39" s="110"/>
      <c r="E39" s="111"/>
      <c r="F39" s="111"/>
      <c r="G39" s="112"/>
      <c r="H39" s="113"/>
    </row>
    <row r="40" spans="2:8" ht="21" customHeight="1" x14ac:dyDescent="0.25">
      <c r="B40" s="178" t="s">
        <v>204</v>
      </c>
      <c r="C40" s="179"/>
      <c r="D40" s="179"/>
      <c r="E40" s="179"/>
      <c r="F40" s="179"/>
      <c r="G40" s="179"/>
      <c r="H40" s="180"/>
    </row>
    <row r="41" spans="2:8" ht="20.25" customHeight="1" x14ac:dyDescent="0.25">
      <c r="B41" s="178" t="s">
        <v>205</v>
      </c>
      <c r="C41" s="179"/>
      <c r="D41" s="179"/>
      <c r="E41" s="179"/>
      <c r="F41" s="179"/>
      <c r="G41" s="179"/>
      <c r="H41" s="180"/>
    </row>
    <row r="42" spans="2:8" ht="20.25" customHeight="1" x14ac:dyDescent="0.25">
      <c r="B42" s="178" t="s">
        <v>206</v>
      </c>
      <c r="C42" s="179"/>
      <c r="D42" s="179"/>
      <c r="E42" s="179"/>
      <c r="F42" s="179"/>
      <c r="G42" s="179"/>
      <c r="H42" s="180"/>
    </row>
    <row r="43" spans="2:8" ht="20.25" customHeight="1" x14ac:dyDescent="0.25">
      <c r="B43" s="178" t="s">
        <v>207</v>
      </c>
      <c r="C43" s="179"/>
      <c r="D43" s="179"/>
      <c r="E43" s="179"/>
      <c r="F43" s="179"/>
      <c r="G43" s="179"/>
      <c r="H43" s="180"/>
    </row>
    <row r="44" spans="2:8" x14ac:dyDescent="0.25">
      <c r="B44" s="178" t="s">
        <v>208</v>
      </c>
      <c r="C44" s="179"/>
      <c r="D44" s="179"/>
      <c r="E44" s="179"/>
      <c r="F44" s="179"/>
      <c r="G44" s="179"/>
      <c r="H44" s="18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42"/>
  <sheetViews>
    <sheetView tabSelected="1" topLeftCell="A5" zoomScale="80" zoomScaleNormal="80" workbookViewId="0">
      <selection activeCell="C6" sqref="C6:N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20"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36" t="s">
        <v>144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9"/>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197" t="s">
        <v>43</v>
      </c>
      <c r="B4" s="198"/>
      <c r="C4" s="397" t="s">
        <v>245</v>
      </c>
      <c r="D4" s="209"/>
      <c r="E4" s="209"/>
      <c r="F4" s="209"/>
      <c r="G4" s="209"/>
      <c r="H4" s="209"/>
      <c r="I4" s="209"/>
      <c r="J4" s="209"/>
      <c r="K4" s="209"/>
      <c r="L4" s="209"/>
      <c r="M4" s="209"/>
      <c r="N4" s="210"/>
      <c r="O4" s="211"/>
      <c r="P4" s="211"/>
      <c r="Q4" s="21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197" t="s">
        <v>130</v>
      </c>
      <c r="B5" s="198"/>
      <c r="C5" s="188" t="s">
        <v>214</v>
      </c>
      <c r="D5" s="189"/>
      <c r="E5" s="189"/>
      <c r="F5" s="189"/>
      <c r="G5" s="189"/>
      <c r="H5" s="189"/>
      <c r="I5" s="189"/>
      <c r="J5" s="189"/>
      <c r="K5" s="189"/>
      <c r="L5" s="189"/>
      <c r="M5" s="189"/>
      <c r="N5" s="189"/>
      <c r="O5" s="189"/>
      <c r="P5" s="189"/>
      <c r="Q5" s="190"/>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197" t="s">
        <v>44</v>
      </c>
      <c r="B6" s="198"/>
      <c r="C6" s="206" t="s">
        <v>215</v>
      </c>
      <c r="D6" s="207"/>
      <c r="E6" s="207"/>
      <c r="F6" s="207"/>
      <c r="G6" s="207"/>
      <c r="H6" s="207"/>
      <c r="I6" s="207"/>
      <c r="J6" s="207"/>
      <c r="K6" s="207"/>
      <c r="L6" s="207"/>
      <c r="M6" s="207"/>
      <c r="N6" s="20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42" t="s">
        <v>139</v>
      </c>
      <c r="B7" s="243"/>
      <c r="C7" s="243"/>
      <c r="D7" s="243"/>
      <c r="E7" s="243"/>
      <c r="F7" s="243"/>
      <c r="G7" s="244"/>
      <c r="H7" s="242" t="s">
        <v>140</v>
      </c>
      <c r="I7" s="243"/>
      <c r="J7" s="243"/>
      <c r="K7" s="243"/>
      <c r="L7" s="243"/>
      <c r="M7" s="243"/>
      <c r="N7" s="244"/>
      <c r="O7" s="242" t="s">
        <v>141</v>
      </c>
      <c r="P7" s="243"/>
      <c r="Q7" s="243"/>
      <c r="R7" s="243"/>
      <c r="S7" s="243"/>
      <c r="T7" s="243"/>
      <c r="U7" s="243"/>
      <c r="V7" s="243"/>
      <c r="W7" s="244"/>
      <c r="X7" s="242" t="s">
        <v>142</v>
      </c>
      <c r="Y7" s="243"/>
      <c r="Z7" s="243"/>
      <c r="AA7" s="243"/>
      <c r="AB7" s="243"/>
      <c r="AC7" s="243"/>
      <c r="AD7" s="244"/>
      <c r="AE7" s="242" t="s">
        <v>34</v>
      </c>
      <c r="AF7" s="243"/>
      <c r="AG7" s="243"/>
      <c r="AH7" s="243"/>
      <c r="AI7" s="243"/>
      <c r="AJ7" s="24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199" t="s">
        <v>0</v>
      </c>
      <c r="B8" s="203" t="s">
        <v>2</v>
      </c>
      <c r="C8" s="192" t="s">
        <v>3</v>
      </c>
      <c r="D8" s="192" t="s">
        <v>42</v>
      </c>
      <c r="E8" s="202" t="s">
        <v>1</v>
      </c>
      <c r="F8" s="201" t="s">
        <v>50</v>
      </c>
      <c r="G8" s="192" t="s">
        <v>135</v>
      </c>
      <c r="H8" s="193" t="s">
        <v>33</v>
      </c>
      <c r="I8" s="194" t="s">
        <v>5</v>
      </c>
      <c r="J8" s="201" t="s">
        <v>87</v>
      </c>
      <c r="K8" s="201" t="s">
        <v>92</v>
      </c>
      <c r="L8" s="196" t="s">
        <v>45</v>
      </c>
      <c r="M8" s="194" t="s">
        <v>5</v>
      </c>
      <c r="N8" s="192" t="s">
        <v>48</v>
      </c>
      <c r="O8" s="204" t="s">
        <v>11</v>
      </c>
      <c r="P8" s="187" t="s">
        <v>163</v>
      </c>
      <c r="Q8" s="201" t="s">
        <v>12</v>
      </c>
      <c r="R8" s="187" t="s">
        <v>8</v>
      </c>
      <c r="S8" s="187"/>
      <c r="T8" s="187"/>
      <c r="U8" s="187"/>
      <c r="V8" s="187"/>
      <c r="W8" s="187"/>
      <c r="X8" s="191" t="s">
        <v>138</v>
      </c>
      <c r="Y8" s="191" t="s">
        <v>46</v>
      </c>
      <c r="Z8" s="191" t="s">
        <v>5</v>
      </c>
      <c r="AA8" s="191" t="s">
        <v>47</v>
      </c>
      <c r="AB8" s="191" t="s">
        <v>5</v>
      </c>
      <c r="AC8" s="191" t="s">
        <v>49</v>
      </c>
      <c r="AD8" s="204" t="s">
        <v>29</v>
      </c>
      <c r="AE8" s="187" t="s">
        <v>34</v>
      </c>
      <c r="AF8" s="187" t="s">
        <v>35</v>
      </c>
      <c r="AG8" s="187" t="s">
        <v>36</v>
      </c>
      <c r="AH8" s="187" t="s">
        <v>38</v>
      </c>
      <c r="AI8" s="187" t="s">
        <v>37</v>
      </c>
      <c r="AJ8" s="18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00"/>
      <c r="B9" s="203"/>
      <c r="C9" s="187"/>
      <c r="D9" s="187"/>
      <c r="E9" s="203"/>
      <c r="F9" s="192"/>
      <c r="G9" s="187"/>
      <c r="H9" s="192"/>
      <c r="I9" s="195"/>
      <c r="J9" s="192"/>
      <c r="K9" s="192"/>
      <c r="L9" s="195"/>
      <c r="M9" s="195"/>
      <c r="N9" s="187"/>
      <c r="O9" s="205"/>
      <c r="P9" s="187"/>
      <c r="Q9" s="192"/>
      <c r="R9" s="7" t="s">
        <v>13</v>
      </c>
      <c r="S9" s="7" t="s">
        <v>17</v>
      </c>
      <c r="T9" s="7" t="s">
        <v>28</v>
      </c>
      <c r="U9" s="7" t="s">
        <v>18</v>
      </c>
      <c r="V9" s="7" t="s">
        <v>21</v>
      </c>
      <c r="W9" s="7" t="s">
        <v>24</v>
      </c>
      <c r="X9" s="191"/>
      <c r="Y9" s="191"/>
      <c r="Z9" s="191"/>
      <c r="AA9" s="191"/>
      <c r="AB9" s="191"/>
      <c r="AC9" s="191"/>
      <c r="AD9" s="205"/>
      <c r="AE9" s="187"/>
      <c r="AF9" s="187"/>
      <c r="AG9" s="187"/>
      <c r="AH9" s="187"/>
      <c r="AI9" s="187"/>
      <c r="AJ9" s="18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42.5" customHeight="1" x14ac:dyDescent="0.25">
      <c r="A10" s="140">
        <v>1</v>
      </c>
      <c r="B10" s="137" t="s">
        <v>132</v>
      </c>
      <c r="C10" s="137"/>
      <c r="D10" s="137" t="s">
        <v>217</v>
      </c>
      <c r="E10" s="141" t="s">
        <v>216</v>
      </c>
      <c r="F10" s="137" t="s">
        <v>123</v>
      </c>
      <c r="G10" s="138" t="s">
        <v>218</v>
      </c>
      <c r="H10" s="139" t="s">
        <v>219</v>
      </c>
      <c r="I10" s="143">
        <f t="shared" ref="I10:I16" si="0">IF(H10="","",IF(H10="Muy Baja",0.2,IF(H10="Baja",0.4,IF(H10="Media",0.6,IF(H10="Alta",0.8,IF(H10="Muy Alta",1,))))))</f>
        <v>0.6</v>
      </c>
      <c r="J10" s="144" t="s">
        <v>57</v>
      </c>
      <c r="K10" s="143" t="str">
        <f>IF(NOT(ISERROR(MATCH(J10,'Tabla Impacto'!$B$221:$B$223,0))),'Tabla Impacto'!$F$223&amp;"Por favor no seleccionar los criterios de impacto(Afectación Económica o presupuestal y Pérdida Reputacional)",J10)</f>
        <v>❌Por favor no seleccionar los criterios de impacto(Afectación Económica o presupuestal y Pérdida Reputacional)</v>
      </c>
      <c r="L10" s="139" t="s">
        <v>220</v>
      </c>
      <c r="M10" s="143">
        <f t="shared" ref="M10:M16" si="1">IF(L10="","",IF(L10="Leve",0.2,IF(L10="Menor",0.4,IF(L10="Moderado",0.6,IF(L10="Mayor",0.8,IF(L10="Catastrófico",1,))))))</f>
        <v>0.6</v>
      </c>
      <c r="N10" s="142" t="str">
        <f t="shared" ref="N10:N16" si="2">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45" t="s">
        <v>221</v>
      </c>
      <c r="Q10" s="125" t="s">
        <v>222</v>
      </c>
      <c r="R10" s="126" t="s">
        <v>14</v>
      </c>
      <c r="S10" s="126" t="s">
        <v>9</v>
      </c>
      <c r="T10" s="127" t="str">
        <f t="shared" ref="T10:T16" si="3">IF(AND(R10="Preventivo",S10="Automático"),"50%",IF(AND(R10="Preventivo",S10="Manual"),"40%",IF(AND(R10="Detectivo",S10="Automático"),"40%",IF(AND(R10="Detectivo",S10="Manual"),"30%",IF(AND(R10="Correctivo",S10="Automático"),"35%",IF(AND(R10="Correctivo",S10="Manual"),"25%",""))))))</f>
        <v>40%</v>
      </c>
      <c r="U10" s="126" t="s">
        <v>20</v>
      </c>
      <c r="V10" s="126" t="s">
        <v>22</v>
      </c>
      <c r="W10" s="126" t="s">
        <v>120</v>
      </c>
      <c r="X10" s="128">
        <f t="shared" ref="X10:X16" si="4">IFERROR(IF(Q10="Probabilidad",(I10-(+I10*T10)),IF(Q10="Impacto",I10,"")),"")</f>
        <v>0.36</v>
      </c>
      <c r="Y10" s="129" t="str">
        <f t="shared" ref="Y10:Y16" si="5">IFERROR(IF(X10="","",IF(X10&lt;=0.2,"Muy Baja",IF(X10&lt;=0.4,"Baja",IF(X10&lt;=0.6,"Media",IF(X10&lt;=0.8,"Alta","Muy Alta"))))),"")</f>
        <v>Baja</v>
      </c>
      <c r="Z10" s="130">
        <f t="shared" ref="Z10:Z16" si="6">+X10</f>
        <v>0.36</v>
      </c>
      <c r="AA10" s="129" t="str">
        <f t="shared" ref="AA10:AA16" si="7">IFERROR(IF(AB10="","",IF(AB10&lt;=0.2,"Leve",IF(AB10&lt;=0.4,"Menor",IF(AB10&lt;=0.6,"Moderado",IF(AB10&lt;=0.8,"Mayor","Catastrófico"))))),"")</f>
        <v>Moderado</v>
      </c>
      <c r="AB10" s="130">
        <f t="shared" ref="AB10:AB16" si="8">IFERROR(IF(Q10="Impacto",(M10-(+M10*T10)),IF(Q10="Probabilidad",M10,"")),"")</f>
        <v>0.6</v>
      </c>
      <c r="AC10" s="131" t="str">
        <f t="shared" ref="AC10:AC16" si="9">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46" t="s">
        <v>223</v>
      </c>
      <c r="AF10" s="146" t="s">
        <v>224</v>
      </c>
      <c r="AG10" s="147" t="s">
        <v>244</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78.5" customHeight="1" x14ac:dyDescent="0.3">
      <c r="A11" s="140">
        <v>2</v>
      </c>
      <c r="B11" s="137" t="s">
        <v>132</v>
      </c>
      <c r="C11" s="137"/>
      <c r="D11" s="137" t="s">
        <v>226</v>
      </c>
      <c r="E11" s="141" t="s">
        <v>225</v>
      </c>
      <c r="F11" s="137" t="s">
        <v>123</v>
      </c>
      <c r="G11" s="138" t="s">
        <v>218</v>
      </c>
      <c r="H11" s="139" t="s">
        <v>227</v>
      </c>
      <c r="I11" s="143">
        <f t="shared" si="0"/>
        <v>0.8</v>
      </c>
      <c r="J11" s="144" t="s">
        <v>57</v>
      </c>
      <c r="K11" s="143" t="str">
        <f>IF(NOT(ISERROR(MATCH(J11,'Tabla Impacto'!$B$221:$B$223,0))),'Tabla Impacto'!$F$223&amp;"Por favor no seleccionar los criterios de impacto(Afectación Económica o presupuestal y Pérdida Reputacional)",J11)</f>
        <v>❌Por favor no seleccionar los criterios de impacto(Afectación Económica o presupuestal y Pérdida Reputacional)</v>
      </c>
      <c r="L11" s="139" t="s">
        <v>220</v>
      </c>
      <c r="M11" s="143">
        <f t="shared" si="1"/>
        <v>0.6</v>
      </c>
      <c r="N11" s="142" t="str">
        <f t="shared" si="2"/>
        <v>Alto</v>
      </c>
      <c r="O11" s="123">
        <v>1</v>
      </c>
      <c r="P11" s="145" t="s">
        <v>228</v>
      </c>
      <c r="Q11" s="125" t="s">
        <v>222</v>
      </c>
      <c r="R11" s="126" t="s">
        <v>14</v>
      </c>
      <c r="S11" s="126" t="s">
        <v>9</v>
      </c>
      <c r="T11" s="127" t="str">
        <f t="shared" si="3"/>
        <v>40%</v>
      </c>
      <c r="U11" s="126" t="s">
        <v>20</v>
      </c>
      <c r="V11" s="126" t="s">
        <v>22</v>
      </c>
      <c r="W11" s="126" t="s">
        <v>120</v>
      </c>
      <c r="X11" s="128">
        <f t="shared" si="4"/>
        <v>0.48</v>
      </c>
      <c r="Y11" s="129" t="str">
        <f t="shared" si="5"/>
        <v>Media</v>
      </c>
      <c r="Z11" s="130">
        <f t="shared" si="6"/>
        <v>0.48</v>
      </c>
      <c r="AA11" s="129" t="str">
        <f t="shared" si="7"/>
        <v>Moderado</v>
      </c>
      <c r="AB11" s="130">
        <f t="shared" si="8"/>
        <v>0.6</v>
      </c>
      <c r="AC11" s="131" t="str">
        <f t="shared" si="9"/>
        <v>Moderado</v>
      </c>
      <c r="AD11" s="132" t="s">
        <v>136</v>
      </c>
      <c r="AE11" s="146" t="s">
        <v>229</v>
      </c>
      <c r="AF11" s="146" t="s">
        <v>224</v>
      </c>
      <c r="AG11" s="147" t="s">
        <v>244</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88.25" customHeight="1" x14ac:dyDescent="0.3">
      <c r="A12" s="140">
        <v>3</v>
      </c>
      <c r="B12" s="137" t="s">
        <v>132</v>
      </c>
      <c r="C12" s="137"/>
      <c r="D12" s="137" t="s">
        <v>230</v>
      </c>
      <c r="E12" s="141" t="s">
        <v>231</v>
      </c>
      <c r="F12" s="137" t="s">
        <v>123</v>
      </c>
      <c r="G12" s="138" t="s">
        <v>218</v>
      </c>
      <c r="H12" s="139" t="s">
        <v>219</v>
      </c>
      <c r="I12" s="143">
        <f t="shared" si="0"/>
        <v>0.6</v>
      </c>
      <c r="J12" s="144" t="s">
        <v>57</v>
      </c>
      <c r="K12" s="143" t="str">
        <f>IF(NOT(ISERROR(MATCH(J12,'Tabla Impacto'!$B$221:$B$223,0))),'Tabla Impacto'!$F$223&amp;"Por favor no seleccionar los criterios de impacto(Afectación Económica o presupuestal y Pérdida Reputacional)",J12)</f>
        <v>❌Por favor no seleccionar los criterios de impacto(Afectación Económica o presupuestal y Pérdida Reputacional)</v>
      </c>
      <c r="L12" s="139" t="s">
        <v>220</v>
      </c>
      <c r="M12" s="143">
        <f t="shared" si="1"/>
        <v>0.6</v>
      </c>
      <c r="N12" s="142" t="str">
        <f t="shared" si="2"/>
        <v>Moderado</v>
      </c>
      <c r="O12" s="123">
        <v>1</v>
      </c>
      <c r="P12" s="145" t="s">
        <v>242</v>
      </c>
      <c r="Q12" s="125" t="str">
        <f t="shared" ref="Q12:Q18" si="10">IF(OR(R12="Preventivo",R12="Detectivo"),"Probabilidad",IF(R12="Correctivo","Impacto",""))</f>
        <v>Probabilidad</v>
      </c>
      <c r="R12" s="126" t="s">
        <v>14</v>
      </c>
      <c r="S12" s="126" t="s">
        <v>9</v>
      </c>
      <c r="T12" s="127" t="str">
        <f t="shared" si="3"/>
        <v>40%</v>
      </c>
      <c r="U12" s="126" t="s">
        <v>20</v>
      </c>
      <c r="V12" s="126" t="s">
        <v>22</v>
      </c>
      <c r="W12" s="126" t="s">
        <v>120</v>
      </c>
      <c r="X12" s="128">
        <f t="shared" si="4"/>
        <v>0.36</v>
      </c>
      <c r="Y12" s="129" t="str">
        <f t="shared" si="5"/>
        <v>Baja</v>
      </c>
      <c r="Z12" s="130">
        <f t="shared" si="6"/>
        <v>0.36</v>
      </c>
      <c r="AA12" s="129" t="str">
        <f t="shared" si="7"/>
        <v>Moderado</v>
      </c>
      <c r="AB12" s="130">
        <f t="shared" si="8"/>
        <v>0.6</v>
      </c>
      <c r="AC12" s="131" t="str">
        <f t="shared" si="9"/>
        <v>Moderado</v>
      </c>
      <c r="AD12" s="132" t="s">
        <v>136</v>
      </c>
      <c r="AE12" s="146" t="s">
        <v>232</v>
      </c>
      <c r="AF12" s="146" t="s">
        <v>224</v>
      </c>
      <c r="AG12" s="147" t="s">
        <v>244</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234" customHeight="1" x14ac:dyDescent="0.3">
      <c r="A13" s="140">
        <v>4</v>
      </c>
      <c r="B13" s="137" t="s">
        <v>132</v>
      </c>
      <c r="C13" s="137"/>
      <c r="D13" s="137" t="s">
        <v>234</v>
      </c>
      <c r="E13" s="141" t="s">
        <v>233</v>
      </c>
      <c r="F13" s="137" t="s">
        <v>123</v>
      </c>
      <c r="G13" s="138" t="s">
        <v>218</v>
      </c>
      <c r="H13" s="139" t="s">
        <v>219</v>
      </c>
      <c r="I13" s="143">
        <f t="shared" si="0"/>
        <v>0.6</v>
      </c>
      <c r="J13" s="144" t="s">
        <v>57</v>
      </c>
      <c r="K13" s="143" t="str">
        <f>IF(NOT(ISERROR(MATCH(J13,'Tabla Impacto'!$B$221:$B$223,0))),'Tabla Impacto'!$F$223&amp;"Por favor no seleccionar los criterios de impacto(Afectación Económica o presupuestal y Pérdida Reputacional)",J13)</f>
        <v>❌Por favor no seleccionar los criterios de impacto(Afectación Económica o presupuestal y Pérdida Reputacional)</v>
      </c>
      <c r="L13" s="139" t="s">
        <v>220</v>
      </c>
      <c r="M13" s="143">
        <f t="shared" si="1"/>
        <v>0.6</v>
      </c>
      <c r="N13" s="142" t="str">
        <f t="shared" si="2"/>
        <v>Moderado</v>
      </c>
      <c r="O13" s="123">
        <v>1</v>
      </c>
      <c r="P13" s="145" t="s">
        <v>242</v>
      </c>
      <c r="Q13" s="125" t="str">
        <f t="shared" si="10"/>
        <v>Probabilidad</v>
      </c>
      <c r="R13" s="126" t="s">
        <v>14</v>
      </c>
      <c r="S13" s="126" t="s">
        <v>9</v>
      </c>
      <c r="T13" s="127" t="str">
        <f t="shared" si="3"/>
        <v>40%</v>
      </c>
      <c r="U13" s="126" t="s">
        <v>20</v>
      </c>
      <c r="V13" s="126" t="s">
        <v>22</v>
      </c>
      <c r="W13" s="126" t="s">
        <v>120</v>
      </c>
      <c r="X13" s="128">
        <f t="shared" si="4"/>
        <v>0.36</v>
      </c>
      <c r="Y13" s="129" t="str">
        <f t="shared" si="5"/>
        <v>Baja</v>
      </c>
      <c r="Z13" s="130">
        <f t="shared" si="6"/>
        <v>0.36</v>
      </c>
      <c r="AA13" s="129" t="str">
        <f t="shared" si="7"/>
        <v>Moderado</v>
      </c>
      <c r="AB13" s="130">
        <f t="shared" si="8"/>
        <v>0.6</v>
      </c>
      <c r="AC13" s="131" t="str">
        <f t="shared" si="9"/>
        <v>Moderado</v>
      </c>
      <c r="AD13" s="132" t="s">
        <v>136</v>
      </c>
      <c r="AE13" s="146" t="s">
        <v>236</v>
      </c>
      <c r="AF13" s="146" t="s">
        <v>224</v>
      </c>
      <c r="AG13" s="147" t="s">
        <v>244</v>
      </c>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242.25" customHeight="1" x14ac:dyDescent="0.3">
      <c r="A14" s="140">
        <v>5</v>
      </c>
      <c r="B14" s="137" t="s">
        <v>132</v>
      </c>
      <c r="C14" s="137"/>
      <c r="D14" s="137" t="s">
        <v>238</v>
      </c>
      <c r="E14" s="141" t="s">
        <v>237</v>
      </c>
      <c r="F14" s="137" t="s">
        <v>123</v>
      </c>
      <c r="G14" s="138" t="s">
        <v>218</v>
      </c>
      <c r="H14" s="139" t="s">
        <v>239</v>
      </c>
      <c r="I14" s="143">
        <f t="shared" si="0"/>
        <v>0.4</v>
      </c>
      <c r="J14" s="144" t="s">
        <v>57</v>
      </c>
      <c r="K14" s="143" t="str">
        <f>IF(NOT(ISERROR(MATCH(J14,'Tabla Impacto'!$B$221:$B$223,0))),'Tabla Impacto'!$F$223&amp;"Por favor no seleccionar los criterios de impacto(Afectación Económica o presupuestal y Pérdida Reputacional)",J14)</f>
        <v>❌Por favor no seleccionar los criterios de impacto(Afectación Económica o presupuestal y Pérdida Reputacional)</v>
      </c>
      <c r="L14" s="139" t="s">
        <v>220</v>
      </c>
      <c r="M14" s="143">
        <f t="shared" si="1"/>
        <v>0.6</v>
      </c>
      <c r="N14" s="142" t="str">
        <f t="shared" si="2"/>
        <v>Moderado</v>
      </c>
      <c r="O14" s="123">
        <v>1</v>
      </c>
      <c r="P14" s="145" t="s">
        <v>243</v>
      </c>
      <c r="Q14" s="125" t="str">
        <f t="shared" si="10"/>
        <v>Probabilidad</v>
      </c>
      <c r="R14" s="126" t="s">
        <v>14</v>
      </c>
      <c r="S14" s="126" t="s">
        <v>9</v>
      </c>
      <c r="T14" s="127" t="str">
        <f t="shared" si="3"/>
        <v>40%</v>
      </c>
      <c r="U14" s="126" t="s">
        <v>20</v>
      </c>
      <c r="V14" s="126" t="s">
        <v>22</v>
      </c>
      <c r="W14" s="126" t="s">
        <v>120</v>
      </c>
      <c r="X14" s="128">
        <f t="shared" si="4"/>
        <v>0.24</v>
      </c>
      <c r="Y14" s="129" t="str">
        <f t="shared" si="5"/>
        <v>Baja</v>
      </c>
      <c r="Z14" s="130">
        <f t="shared" si="6"/>
        <v>0.24</v>
      </c>
      <c r="AA14" s="129" t="str">
        <f t="shared" si="7"/>
        <v>Moderado</v>
      </c>
      <c r="AB14" s="130">
        <f t="shared" si="8"/>
        <v>0.6</v>
      </c>
      <c r="AC14" s="131" t="str">
        <f t="shared" si="9"/>
        <v>Moderado</v>
      </c>
      <c r="AD14" s="132" t="s">
        <v>136</v>
      </c>
      <c r="AE14" s="146" t="s">
        <v>235</v>
      </c>
      <c r="AF14" s="146" t="s">
        <v>224</v>
      </c>
      <c r="AG14" s="147" t="s">
        <v>244</v>
      </c>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201" customHeight="1" x14ac:dyDescent="0.3">
      <c r="A15" s="140">
        <v>6</v>
      </c>
      <c r="B15" s="137" t="s">
        <v>132</v>
      </c>
      <c r="C15" s="137"/>
      <c r="D15" s="137" t="s">
        <v>241</v>
      </c>
      <c r="E15" s="141" t="s">
        <v>240</v>
      </c>
      <c r="F15" s="137" t="s">
        <v>123</v>
      </c>
      <c r="G15" s="138" t="s">
        <v>218</v>
      </c>
      <c r="H15" s="139" t="s">
        <v>239</v>
      </c>
      <c r="I15" s="143">
        <f t="shared" si="0"/>
        <v>0.4</v>
      </c>
      <c r="J15" s="144"/>
      <c r="K15" s="143">
        <f>IF(NOT(ISERROR(MATCH(J15,'Tabla Impacto'!$B$221:$B$223,0))),'Tabla Impacto'!$F$223&amp;"Por favor no seleccionar los criterios de impacto(Afectación Económica o presupuestal y Pérdida Reputacional)",J15)</f>
        <v>0</v>
      </c>
      <c r="L15" s="139" t="s">
        <v>220</v>
      </c>
      <c r="M15" s="143">
        <f t="shared" si="1"/>
        <v>0.6</v>
      </c>
      <c r="N15" s="142" t="str">
        <f t="shared" si="2"/>
        <v>Moderado</v>
      </c>
      <c r="O15" s="123">
        <v>1</v>
      </c>
      <c r="P15" s="145" t="s">
        <v>243</v>
      </c>
      <c r="Q15" s="125" t="str">
        <f t="shared" si="10"/>
        <v>Probabilidad</v>
      </c>
      <c r="R15" s="126" t="s">
        <v>14</v>
      </c>
      <c r="S15" s="126" t="s">
        <v>9</v>
      </c>
      <c r="T15" s="127" t="str">
        <f t="shared" si="3"/>
        <v>40%</v>
      </c>
      <c r="U15" s="126" t="s">
        <v>20</v>
      </c>
      <c r="V15" s="126" t="s">
        <v>22</v>
      </c>
      <c r="W15" s="126" t="s">
        <v>120</v>
      </c>
      <c r="X15" s="128">
        <f t="shared" si="4"/>
        <v>0.24</v>
      </c>
      <c r="Y15" s="129" t="str">
        <f t="shared" si="5"/>
        <v>Baja</v>
      </c>
      <c r="Z15" s="130">
        <f t="shared" si="6"/>
        <v>0.24</v>
      </c>
      <c r="AA15" s="129" t="str">
        <f t="shared" si="7"/>
        <v>Moderado</v>
      </c>
      <c r="AB15" s="130">
        <f t="shared" si="8"/>
        <v>0.6</v>
      </c>
      <c r="AC15" s="131" t="str">
        <f t="shared" si="9"/>
        <v>Moderado</v>
      </c>
      <c r="AD15" s="132" t="s">
        <v>136</v>
      </c>
      <c r="AE15" s="146" t="s">
        <v>235</v>
      </c>
      <c r="AF15" s="146" t="s">
        <v>224</v>
      </c>
      <c r="AG15" s="147" t="s">
        <v>244</v>
      </c>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12">
        <v>7</v>
      </c>
      <c r="B16" s="215"/>
      <c r="C16" s="215"/>
      <c r="D16" s="215"/>
      <c r="E16" s="218"/>
      <c r="F16" s="215"/>
      <c r="G16" s="227"/>
      <c r="H16" s="230" t="str">
        <f>IF(G16&lt;=0,"",IF(G16&lt;=2,"Muy Baja",IF(G16&lt;=24,"Baja",IF(G16&lt;=500,"Media",IF(G16&lt;=5000,"Alta","Muy Alta")))))</f>
        <v/>
      </c>
      <c r="I16" s="221" t="str">
        <f t="shared" si="0"/>
        <v/>
      </c>
      <c r="J16" s="233"/>
      <c r="K16" s="221">
        <f>IF(NOT(ISERROR(MATCH(J16,'Tabla Impacto'!$B$221:$B$223,0))),'Tabla Impacto'!$F$223&amp;"Por favor no seleccionar los criterios de impacto(Afectación Económica o presupuestal y Pérdida Reputacional)",J16)</f>
        <v>0</v>
      </c>
      <c r="L16" s="230" t="str">
        <f>IF(OR(K16='Tabla Impacto'!$C$11,K16='Tabla Impacto'!$D$11),"Leve",IF(OR(K16='Tabla Impacto'!$C$12,K16='Tabla Impacto'!$D$12),"Menor",IF(OR(K16='Tabla Impacto'!$C$13,K16='Tabla Impacto'!$D$13),"Moderado",IF(OR(K16='Tabla Impacto'!$C$14,K16='Tabla Impacto'!$D$14),"Mayor",IF(OR(K16='Tabla Impacto'!$C$15,K16='Tabla Impacto'!$D$15),"Catastrófico","")))))</f>
        <v/>
      </c>
      <c r="M16" s="221" t="str">
        <f t="shared" si="1"/>
        <v/>
      </c>
      <c r="N16" s="224" t="str">
        <f t="shared" si="2"/>
        <v/>
      </c>
      <c r="O16" s="123">
        <v>1</v>
      </c>
      <c r="P16" s="145"/>
      <c r="Q16" s="125" t="str">
        <f t="shared" si="10"/>
        <v/>
      </c>
      <c r="R16" s="126"/>
      <c r="S16" s="126"/>
      <c r="T16" s="127" t="str">
        <f t="shared" si="3"/>
        <v/>
      </c>
      <c r="U16" s="126"/>
      <c r="V16" s="126"/>
      <c r="W16" s="126"/>
      <c r="X16" s="128" t="str">
        <f t="shared" si="4"/>
        <v/>
      </c>
      <c r="Y16" s="129" t="str">
        <f t="shared" si="5"/>
        <v/>
      </c>
      <c r="Z16" s="130" t="str">
        <f t="shared" si="6"/>
        <v/>
      </c>
      <c r="AA16" s="129" t="str">
        <f t="shared" si="7"/>
        <v/>
      </c>
      <c r="AB16" s="130" t="str">
        <f t="shared" si="8"/>
        <v/>
      </c>
      <c r="AC16" s="131" t="str">
        <f t="shared" si="9"/>
        <v/>
      </c>
      <c r="AD16" s="132"/>
      <c r="AE16" s="133"/>
      <c r="AF16" s="134"/>
      <c r="AG16" s="135"/>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13"/>
      <c r="B17" s="216"/>
      <c r="C17" s="216"/>
      <c r="D17" s="216"/>
      <c r="E17" s="219"/>
      <c r="F17" s="216"/>
      <c r="G17" s="228"/>
      <c r="H17" s="231"/>
      <c r="I17" s="222"/>
      <c r="J17" s="234"/>
      <c r="K17" s="222">
        <f t="shared" ref="K17:K21" si="11">IF(NOT(ISERROR(MATCH(J17,_xlfn.ANCHORARRAY(E28),0))),I30&amp;"Por favor no seleccionar los criterios de impacto",J17)</f>
        <v>0</v>
      </c>
      <c r="L17" s="231"/>
      <c r="M17" s="222"/>
      <c r="N17" s="225"/>
      <c r="O17" s="123">
        <v>2</v>
      </c>
      <c r="P17" s="124"/>
      <c r="Q17" s="125" t="str">
        <f t="shared" si="10"/>
        <v/>
      </c>
      <c r="R17" s="126"/>
      <c r="S17" s="126"/>
      <c r="T17" s="127" t="str">
        <f t="shared" ref="T17:T21" si="12">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ref="Y17:Y39" si="13">IFERROR(IF(X17="","",IF(X17&lt;=0.2,"Muy Baja",IF(X17&lt;=0.4,"Baja",IF(X17&lt;=0.6,"Media",IF(X17&lt;=0.8,"Alta","Muy Alta"))))),"")</f>
        <v/>
      </c>
      <c r="Z17" s="130" t="str">
        <f t="shared" ref="Z17:Z21" si="14">+X17</f>
        <v/>
      </c>
      <c r="AA17" s="129" t="str">
        <f t="shared" ref="AA17:AA39" si="15">IFERROR(IF(AB17="","",IF(AB17&lt;=0.2,"Leve",IF(AB17&lt;=0.4,"Menor",IF(AB17&lt;=0.6,"Moderado",IF(AB17&lt;=0.8,"Mayor","Catastrófico"))))),"")</f>
        <v/>
      </c>
      <c r="AB17" s="130" t="str">
        <f>IFERROR(IF(AND(Q16="Impacto",Q17="Impacto"),(AB16-(+AB16*T17)),IF(Q17="Impacto",(M16-(+M16*T17)),IF(Q17="Probabilidad",AB16,""))),"")</f>
        <v/>
      </c>
      <c r="AC17" s="131" t="str">
        <f t="shared" ref="AC17:AC18" si="16">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13"/>
      <c r="B18" s="216"/>
      <c r="C18" s="216"/>
      <c r="D18" s="216"/>
      <c r="E18" s="219"/>
      <c r="F18" s="216"/>
      <c r="G18" s="228"/>
      <c r="H18" s="231"/>
      <c r="I18" s="222"/>
      <c r="J18" s="234"/>
      <c r="K18" s="222">
        <f t="shared" si="11"/>
        <v>0</v>
      </c>
      <c r="L18" s="231"/>
      <c r="M18" s="222"/>
      <c r="N18" s="225"/>
      <c r="O18" s="123">
        <v>3</v>
      </c>
      <c r="P18" s="136"/>
      <c r="Q18" s="125" t="str">
        <f t="shared" si="10"/>
        <v/>
      </c>
      <c r="R18" s="126"/>
      <c r="S18" s="126"/>
      <c r="T18" s="127" t="str">
        <f t="shared" si="12"/>
        <v/>
      </c>
      <c r="U18" s="126"/>
      <c r="V18" s="126"/>
      <c r="W18" s="126"/>
      <c r="X18" s="128" t="str">
        <f>IFERROR(IF(AND(Q17="Probabilidad",Q18="Probabilidad"),(Z17-(+Z17*T18)),IF(AND(Q17="Impacto",Q18="Probabilidad"),(Z16-(+Z16*T18)),IF(Q18="Impacto",Z17,""))),"")</f>
        <v/>
      </c>
      <c r="Y18" s="129" t="str">
        <f t="shared" si="13"/>
        <v/>
      </c>
      <c r="Z18" s="130" t="str">
        <f t="shared" si="14"/>
        <v/>
      </c>
      <c r="AA18" s="129" t="str">
        <f t="shared" si="15"/>
        <v/>
      </c>
      <c r="AB18" s="130" t="str">
        <f>IFERROR(IF(AND(Q17="Impacto",Q18="Impacto"),(AB17-(+AB17*T18)),IF(AND(Q17="Probabilidad",Q18="Impacto"),(AB16-(+AB16*T18)),IF(Q18="Probabilidad",AB17,""))),"")</f>
        <v/>
      </c>
      <c r="AC18" s="131" t="str">
        <f t="shared" si="16"/>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13"/>
      <c r="B19" s="216"/>
      <c r="C19" s="216"/>
      <c r="D19" s="216"/>
      <c r="E19" s="219"/>
      <c r="F19" s="216"/>
      <c r="G19" s="228"/>
      <c r="H19" s="231"/>
      <c r="I19" s="222"/>
      <c r="J19" s="234"/>
      <c r="K19" s="222">
        <f t="shared" si="11"/>
        <v>0</v>
      </c>
      <c r="L19" s="231"/>
      <c r="M19" s="222"/>
      <c r="N19" s="225"/>
      <c r="O19" s="123">
        <v>4</v>
      </c>
      <c r="P19" s="124"/>
      <c r="Q19" s="125" t="str">
        <f t="shared" ref="Q19:Q21" si="17">IF(OR(R19="Preventivo",R19="Detectivo"),"Probabilidad",IF(R19="Correctivo","Impacto",""))</f>
        <v/>
      </c>
      <c r="R19" s="126"/>
      <c r="S19" s="126"/>
      <c r="T19" s="127" t="str">
        <f t="shared" si="12"/>
        <v/>
      </c>
      <c r="U19" s="126"/>
      <c r="V19" s="126"/>
      <c r="W19" s="126"/>
      <c r="X19" s="128" t="str">
        <f t="shared" ref="X19:X21" si="18">IFERROR(IF(AND(Q18="Probabilidad",Q19="Probabilidad"),(Z18-(+Z18*T19)),IF(AND(Q18="Impacto",Q19="Probabilidad"),(Z17-(+Z17*T19)),IF(Q19="Impacto",Z18,""))),"")</f>
        <v/>
      </c>
      <c r="Y19" s="129" t="str">
        <f t="shared" si="13"/>
        <v/>
      </c>
      <c r="Z19" s="130" t="str">
        <f t="shared" si="14"/>
        <v/>
      </c>
      <c r="AA19" s="129" t="str">
        <f t="shared" si="15"/>
        <v/>
      </c>
      <c r="AB19" s="130" t="str">
        <f t="shared" ref="AB19:AB21" si="19">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13"/>
      <c r="B20" s="216"/>
      <c r="C20" s="216"/>
      <c r="D20" s="216"/>
      <c r="E20" s="219"/>
      <c r="F20" s="216"/>
      <c r="G20" s="228"/>
      <c r="H20" s="231"/>
      <c r="I20" s="222"/>
      <c r="J20" s="234"/>
      <c r="K20" s="222">
        <f t="shared" si="11"/>
        <v>0</v>
      </c>
      <c r="L20" s="231"/>
      <c r="M20" s="222"/>
      <c r="N20" s="225"/>
      <c r="O20" s="123">
        <v>5</v>
      </c>
      <c r="P20" s="124"/>
      <c r="Q20" s="125" t="str">
        <f t="shared" si="17"/>
        <v/>
      </c>
      <c r="R20" s="126"/>
      <c r="S20" s="126"/>
      <c r="T20" s="127" t="str">
        <f t="shared" si="12"/>
        <v/>
      </c>
      <c r="U20" s="126"/>
      <c r="V20" s="126"/>
      <c r="W20" s="126"/>
      <c r="X20" s="128" t="str">
        <f t="shared" si="18"/>
        <v/>
      </c>
      <c r="Y20" s="129" t="str">
        <f t="shared" si="13"/>
        <v/>
      </c>
      <c r="Z20" s="130" t="str">
        <f t="shared" si="14"/>
        <v/>
      </c>
      <c r="AA20" s="129" t="str">
        <f t="shared" si="15"/>
        <v/>
      </c>
      <c r="AB20" s="130" t="str">
        <f t="shared" si="19"/>
        <v/>
      </c>
      <c r="AC20" s="131" t="str">
        <f t="shared" ref="AC20:AC21" si="2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14"/>
      <c r="B21" s="217"/>
      <c r="C21" s="217"/>
      <c r="D21" s="217"/>
      <c r="E21" s="220"/>
      <c r="F21" s="217"/>
      <c r="G21" s="229"/>
      <c r="H21" s="232"/>
      <c r="I21" s="223"/>
      <c r="J21" s="235"/>
      <c r="K21" s="223">
        <f t="shared" si="11"/>
        <v>0</v>
      </c>
      <c r="L21" s="232"/>
      <c r="M21" s="223"/>
      <c r="N21" s="226"/>
      <c r="O21" s="123">
        <v>6</v>
      </c>
      <c r="P21" s="124"/>
      <c r="Q21" s="125" t="str">
        <f t="shared" si="17"/>
        <v/>
      </c>
      <c r="R21" s="126"/>
      <c r="S21" s="126"/>
      <c r="T21" s="127" t="str">
        <f t="shared" si="12"/>
        <v/>
      </c>
      <c r="U21" s="126"/>
      <c r="V21" s="126"/>
      <c r="W21" s="126"/>
      <c r="X21" s="128" t="str">
        <f t="shared" si="18"/>
        <v/>
      </c>
      <c r="Y21" s="129" t="str">
        <f t="shared" si="13"/>
        <v/>
      </c>
      <c r="Z21" s="130" t="str">
        <f t="shared" si="14"/>
        <v/>
      </c>
      <c r="AA21" s="129" t="str">
        <f t="shared" si="15"/>
        <v/>
      </c>
      <c r="AB21" s="130" t="str">
        <f t="shared" si="19"/>
        <v/>
      </c>
      <c r="AC21" s="131" t="str">
        <f t="shared" si="20"/>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12">
        <v>8</v>
      </c>
      <c r="B22" s="215"/>
      <c r="C22" s="215"/>
      <c r="D22" s="215"/>
      <c r="E22" s="218"/>
      <c r="F22" s="215"/>
      <c r="G22" s="227"/>
      <c r="H22" s="230" t="str">
        <f>IF(G22&lt;=0,"",IF(G22&lt;=2,"Muy Baja",IF(G22&lt;=24,"Baja",IF(G22&lt;=500,"Media",IF(G22&lt;=5000,"Alta","Muy Alta")))))</f>
        <v/>
      </c>
      <c r="I22" s="221" t="str">
        <f>IF(H22="","",IF(H22="Muy Baja",0.2,IF(H22="Baja",0.4,IF(H22="Media",0.6,IF(H22="Alta",0.8,IF(H22="Muy Alta",1,))))))</f>
        <v/>
      </c>
      <c r="J22" s="233"/>
      <c r="K22" s="221">
        <f>IF(NOT(ISERROR(MATCH(J22,'Tabla Impacto'!$B$221:$B$223,0))),'Tabla Impacto'!$F$223&amp;"Por favor no seleccionar los criterios de impacto(Afectación Económica o presupuestal y Pérdida Reputacional)",J22)</f>
        <v>0</v>
      </c>
      <c r="L22" s="230" t="str">
        <f>IF(OR(K22='Tabla Impacto'!$C$11,K22='Tabla Impacto'!$D$11),"Leve",IF(OR(K22='Tabla Impacto'!$C$12,K22='Tabla Impacto'!$D$12),"Menor",IF(OR(K22='Tabla Impacto'!$C$13,K22='Tabla Impacto'!$D$13),"Moderado",IF(OR(K22='Tabla Impacto'!$C$14,K22='Tabla Impacto'!$D$14),"Mayor",IF(OR(K22='Tabla Impacto'!$C$15,K22='Tabla Impacto'!$D$15),"Catastrófico","")))))</f>
        <v/>
      </c>
      <c r="M22" s="221" t="str">
        <f>IF(L22="","",IF(L22="Leve",0.2,IF(L22="Menor",0.4,IF(L22="Moderado",0.6,IF(L22="Mayor",0.8,IF(L22="Catastrófico",1,))))))</f>
        <v/>
      </c>
      <c r="N22" s="224"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13"/>
      <c r="B23" s="216"/>
      <c r="C23" s="216"/>
      <c r="D23" s="216"/>
      <c r="E23" s="219"/>
      <c r="F23" s="216"/>
      <c r="G23" s="228"/>
      <c r="H23" s="231"/>
      <c r="I23" s="222"/>
      <c r="J23" s="234"/>
      <c r="K23" s="222">
        <f>IF(NOT(ISERROR(MATCH(J23,_xlfn.ANCHORARRAY(E34),0))),I36&amp;"Por favor no seleccionar los criterios de impacto",J23)</f>
        <v>0</v>
      </c>
      <c r="L23" s="231"/>
      <c r="M23" s="222"/>
      <c r="N23" s="225"/>
      <c r="O23" s="123">
        <v>2</v>
      </c>
      <c r="P23" s="124"/>
      <c r="Q23" s="125" t="str">
        <f>IF(OR(R23="Preventivo",R23="Detectivo"),"Probabilidad",IF(R23="Correctivo","Impacto",""))</f>
        <v/>
      </c>
      <c r="R23" s="126"/>
      <c r="S23" s="126"/>
      <c r="T23" s="127" t="str">
        <f t="shared" ref="T23:T27" si="21">IF(AND(R23="Preventivo",S23="Automático"),"50%",IF(AND(R23="Preventivo",S23="Manual"),"40%",IF(AND(R23="Detectivo",S23="Automático"),"40%",IF(AND(R23="Detectivo",S23="Manual"),"30%",IF(AND(R23="Correctivo",S23="Automático"),"35%",IF(AND(R23="Correctivo",S23="Manual"),"25%",""))))))</f>
        <v/>
      </c>
      <c r="U23" s="126"/>
      <c r="V23" s="126"/>
      <c r="W23" s="126"/>
      <c r="X23" s="128" t="str">
        <f>IFERROR(IF(AND(Q22="Probabilidad",Q23="Probabilidad"),(Z22-(+Z22*T23)),IF(Q23="Probabilidad",(I22-(+I22*T23)),IF(Q23="Impacto",Z22,""))),"")</f>
        <v/>
      </c>
      <c r="Y23" s="129" t="str">
        <f t="shared" si="13"/>
        <v/>
      </c>
      <c r="Z23" s="130" t="str">
        <f t="shared" ref="Z23:Z27" si="22">+X23</f>
        <v/>
      </c>
      <c r="AA23" s="129" t="str">
        <f t="shared" si="15"/>
        <v/>
      </c>
      <c r="AB23" s="130" t="str">
        <f>IFERROR(IF(AND(Q22="Impacto",Q23="Impacto"),(AB22-(+AB22*T23)),IF(Q23="Impacto",(M22-(+M22*T23)),IF(Q23="Probabilidad",AB22,""))),"")</f>
        <v/>
      </c>
      <c r="AC23" s="131" t="str">
        <f t="shared" ref="AC23:AC24" si="23">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13"/>
      <c r="B24" s="216"/>
      <c r="C24" s="216"/>
      <c r="D24" s="216"/>
      <c r="E24" s="219"/>
      <c r="F24" s="216"/>
      <c r="G24" s="228"/>
      <c r="H24" s="231"/>
      <c r="I24" s="222"/>
      <c r="J24" s="234"/>
      <c r="K24" s="222">
        <f>IF(NOT(ISERROR(MATCH(J24,_xlfn.ANCHORARRAY(E35),0))),I37&amp;"Por favor no seleccionar los criterios de impacto",J24)</f>
        <v>0</v>
      </c>
      <c r="L24" s="231"/>
      <c r="M24" s="222"/>
      <c r="N24" s="225"/>
      <c r="O24" s="123">
        <v>3</v>
      </c>
      <c r="P24" s="136"/>
      <c r="Q24" s="125" t="str">
        <f>IF(OR(R24="Preventivo",R24="Detectivo"),"Probabilidad",IF(R24="Correctivo","Impacto",""))</f>
        <v/>
      </c>
      <c r="R24" s="126"/>
      <c r="S24" s="126"/>
      <c r="T24" s="127" t="str">
        <f t="shared" si="21"/>
        <v/>
      </c>
      <c r="U24" s="126"/>
      <c r="V24" s="126"/>
      <c r="W24" s="126"/>
      <c r="X24" s="128" t="str">
        <f>IFERROR(IF(AND(Q23="Probabilidad",Q24="Probabilidad"),(Z23-(+Z23*T24)),IF(AND(Q23="Impacto",Q24="Probabilidad"),(Z22-(+Z22*T24)),IF(Q24="Impacto",Z23,""))),"")</f>
        <v/>
      </c>
      <c r="Y24" s="129" t="str">
        <f t="shared" si="13"/>
        <v/>
      </c>
      <c r="Z24" s="130" t="str">
        <f t="shared" si="22"/>
        <v/>
      </c>
      <c r="AA24" s="129" t="str">
        <f t="shared" si="15"/>
        <v/>
      </c>
      <c r="AB24" s="130" t="str">
        <f>IFERROR(IF(AND(Q23="Impacto",Q24="Impacto"),(AB23-(+AB23*T24)),IF(AND(Q23="Probabilidad",Q24="Impacto"),(AB22-(+AB22*T24)),IF(Q24="Probabilidad",AB23,""))),"")</f>
        <v/>
      </c>
      <c r="AC24" s="131" t="str">
        <f t="shared" si="23"/>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13"/>
      <c r="B25" s="216"/>
      <c r="C25" s="216"/>
      <c r="D25" s="216"/>
      <c r="E25" s="219"/>
      <c r="F25" s="216"/>
      <c r="G25" s="228"/>
      <c r="H25" s="231"/>
      <c r="I25" s="222"/>
      <c r="J25" s="234"/>
      <c r="K25" s="222">
        <f>IF(NOT(ISERROR(MATCH(J25,_xlfn.ANCHORARRAY(E36),0))),I38&amp;"Por favor no seleccionar los criterios de impacto",J25)</f>
        <v>0</v>
      </c>
      <c r="L25" s="231"/>
      <c r="M25" s="222"/>
      <c r="N25" s="225"/>
      <c r="O25" s="123">
        <v>4</v>
      </c>
      <c r="P25" s="124"/>
      <c r="Q25" s="125" t="str">
        <f t="shared" ref="Q25:Q27" si="24">IF(OR(R25="Preventivo",R25="Detectivo"),"Probabilidad",IF(R25="Correctivo","Impacto",""))</f>
        <v/>
      </c>
      <c r="R25" s="126"/>
      <c r="S25" s="126"/>
      <c r="T25" s="127" t="str">
        <f t="shared" si="21"/>
        <v/>
      </c>
      <c r="U25" s="126"/>
      <c r="V25" s="126"/>
      <c r="W25" s="126"/>
      <c r="X25" s="128" t="str">
        <f t="shared" ref="X25:X27" si="25">IFERROR(IF(AND(Q24="Probabilidad",Q25="Probabilidad"),(Z24-(+Z24*T25)),IF(AND(Q24="Impacto",Q25="Probabilidad"),(Z23-(+Z23*T25)),IF(Q25="Impacto",Z24,""))),"")</f>
        <v/>
      </c>
      <c r="Y25" s="129" t="str">
        <f t="shared" si="13"/>
        <v/>
      </c>
      <c r="Z25" s="130" t="str">
        <f t="shared" si="22"/>
        <v/>
      </c>
      <c r="AA25" s="129" t="str">
        <f t="shared" si="15"/>
        <v/>
      </c>
      <c r="AB25" s="130" t="str">
        <f t="shared" ref="AB25:AB27" si="26">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13"/>
      <c r="B26" s="216"/>
      <c r="C26" s="216"/>
      <c r="D26" s="216"/>
      <c r="E26" s="219"/>
      <c r="F26" s="216"/>
      <c r="G26" s="228"/>
      <c r="H26" s="231"/>
      <c r="I26" s="222"/>
      <c r="J26" s="234"/>
      <c r="K26" s="222">
        <f>IF(NOT(ISERROR(MATCH(J26,_xlfn.ANCHORARRAY(E37),0))),I39&amp;"Por favor no seleccionar los criterios de impacto",J26)</f>
        <v>0</v>
      </c>
      <c r="L26" s="231"/>
      <c r="M26" s="222"/>
      <c r="N26" s="225"/>
      <c r="O26" s="123">
        <v>5</v>
      </c>
      <c r="P26" s="124"/>
      <c r="Q26" s="125" t="str">
        <f t="shared" si="24"/>
        <v/>
      </c>
      <c r="R26" s="126"/>
      <c r="S26" s="126"/>
      <c r="T26" s="127" t="str">
        <f t="shared" si="21"/>
        <v/>
      </c>
      <c r="U26" s="126"/>
      <c r="V26" s="126"/>
      <c r="W26" s="126"/>
      <c r="X26" s="128" t="str">
        <f t="shared" si="25"/>
        <v/>
      </c>
      <c r="Y26" s="129" t="str">
        <f t="shared" si="13"/>
        <v/>
      </c>
      <c r="Z26" s="130" t="str">
        <f t="shared" si="22"/>
        <v/>
      </c>
      <c r="AA26" s="129" t="str">
        <f t="shared" si="15"/>
        <v/>
      </c>
      <c r="AB26" s="130" t="str">
        <f t="shared" si="26"/>
        <v/>
      </c>
      <c r="AC26" s="131" t="str">
        <f t="shared" ref="AC26:AC27" si="2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14"/>
      <c r="B27" s="217"/>
      <c r="C27" s="217"/>
      <c r="D27" s="217"/>
      <c r="E27" s="220"/>
      <c r="F27" s="217"/>
      <c r="G27" s="229"/>
      <c r="H27" s="232"/>
      <c r="I27" s="223"/>
      <c r="J27" s="235"/>
      <c r="K27" s="223">
        <f>IF(NOT(ISERROR(MATCH(J27,_xlfn.ANCHORARRAY(E38),0))),I40&amp;"Por favor no seleccionar los criterios de impacto",J27)</f>
        <v>0</v>
      </c>
      <c r="L27" s="232"/>
      <c r="M27" s="223"/>
      <c r="N27" s="226"/>
      <c r="O27" s="123">
        <v>6</v>
      </c>
      <c r="P27" s="124"/>
      <c r="Q27" s="125" t="str">
        <f t="shared" si="24"/>
        <v/>
      </c>
      <c r="R27" s="126"/>
      <c r="S27" s="126"/>
      <c r="T27" s="127" t="str">
        <f t="shared" si="21"/>
        <v/>
      </c>
      <c r="U27" s="126"/>
      <c r="V27" s="126"/>
      <c r="W27" s="126"/>
      <c r="X27" s="128" t="str">
        <f t="shared" si="25"/>
        <v/>
      </c>
      <c r="Y27" s="129" t="str">
        <f t="shared" si="13"/>
        <v/>
      </c>
      <c r="Z27" s="130" t="str">
        <f t="shared" si="22"/>
        <v/>
      </c>
      <c r="AA27" s="129" t="str">
        <f t="shared" si="15"/>
        <v/>
      </c>
      <c r="AB27" s="130" t="str">
        <f t="shared" si="26"/>
        <v/>
      </c>
      <c r="AC27" s="131" t="str">
        <f t="shared" si="27"/>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12">
        <v>9</v>
      </c>
      <c r="B28" s="215"/>
      <c r="C28" s="215"/>
      <c r="D28" s="215"/>
      <c r="E28" s="218"/>
      <c r="F28" s="215"/>
      <c r="G28" s="227"/>
      <c r="H28" s="230" t="str">
        <f>IF(G28&lt;=0,"",IF(G28&lt;=2,"Muy Baja",IF(G28&lt;=24,"Baja",IF(G28&lt;=500,"Media",IF(G28&lt;=5000,"Alta","Muy Alta")))))</f>
        <v/>
      </c>
      <c r="I28" s="221" t="str">
        <f>IF(H28="","",IF(H28="Muy Baja",0.2,IF(H28="Baja",0.4,IF(H28="Media",0.6,IF(H28="Alta",0.8,IF(H28="Muy Alta",1,))))))</f>
        <v/>
      </c>
      <c r="J28" s="233"/>
      <c r="K28" s="221">
        <f>IF(NOT(ISERROR(MATCH(J28,'Tabla Impacto'!$B$221:$B$223,0))),'Tabla Impacto'!$F$223&amp;"Por favor no seleccionar los criterios de impacto(Afectación Económica o presupuestal y Pérdida Reputacional)",J28)</f>
        <v>0</v>
      </c>
      <c r="L28" s="230" t="str">
        <f>IF(OR(K28='Tabla Impacto'!$C$11,K28='Tabla Impacto'!$D$11),"Leve",IF(OR(K28='Tabla Impacto'!$C$12,K28='Tabla Impacto'!$D$12),"Menor",IF(OR(K28='Tabla Impacto'!$C$13,K28='Tabla Impacto'!$D$13),"Moderado",IF(OR(K28='Tabla Impacto'!$C$14,K28='Tabla Impacto'!$D$14),"Mayor",IF(OR(K28='Tabla Impacto'!$C$15,K28='Tabla Impacto'!$D$15),"Catastrófico","")))))</f>
        <v/>
      </c>
      <c r="M28" s="221" t="str">
        <f>IF(L28="","",IF(L28="Leve",0.2,IF(L28="Menor",0.4,IF(L28="Moderado",0.6,IF(L28="Mayor",0.8,IF(L28="Catastrófico",1,))))))</f>
        <v/>
      </c>
      <c r="N28" s="224"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13"/>
      <c r="B29" s="216"/>
      <c r="C29" s="216"/>
      <c r="D29" s="216"/>
      <c r="E29" s="219"/>
      <c r="F29" s="216"/>
      <c r="G29" s="228"/>
      <c r="H29" s="231"/>
      <c r="I29" s="222"/>
      <c r="J29" s="234"/>
      <c r="K29" s="222">
        <f>IF(NOT(ISERROR(MATCH(J29,_xlfn.ANCHORARRAY(E40),0))),I42&amp;"Por favor no seleccionar los criterios de impacto",J29)</f>
        <v>0</v>
      </c>
      <c r="L29" s="231"/>
      <c r="M29" s="222"/>
      <c r="N29" s="225"/>
      <c r="O29" s="123">
        <v>2</v>
      </c>
      <c r="P29" s="124"/>
      <c r="Q29" s="125" t="str">
        <f>IF(OR(R29="Preventivo",R29="Detectivo"),"Probabilidad",IF(R29="Correctivo","Impacto",""))</f>
        <v/>
      </c>
      <c r="R29" s="126"/>
      <c r="S29" s="126"/>
      <c r="T29" s="127" t="str">
        <f t="shared" ref="T29:T33" si="28">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3"/>
        <v/>
      </c>
      <c r="Z29" s="130" t="str">
        <f t="shared" ref="Z29:Z33" si="29">+X29</f>
        <v/>
      </c>
      <c r="AA29" s="129" t="str">
        <f t="shared" si="15"/>
        <v/>
      </c>
      <c r="AB29" s="130" t="str">
        <f>IFERROR(IF(AND(Q28="Impacto",Q29="Impacto"),(AB28-(+AB28*T29)),IF(Q29="Impacto",(M28-(+M28*T29)),IF(Q29="Probabilidad",AB28,""))),"")</f>
        <v/>
      </c>
      <c r="AC29" s="131" t="str">
        <f t="shared" ref="AC29:AC30" si="30">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13"/>
      <c r="B30" s="216"/>
      <c r="C30" s="216"/>
      <c r="D30" s="216"/>
      <c r="E30" s="219"/>
      <c r="F30" s="216"/>
      <c r="G30" s="228"/>
      <c r="H30" s="231"/>
      <c r="I30" s="222"/>
      <c r="J30" s="234"/>
      <c r="K30" s="222">
        <f>IF(NOT(ISERROR(MATCH(J30,_xlfn.ANCHORARRAY(E41),0))),I43&amp;"Por favor no seleccionar los criterios de impacto",J30)</f>
        <v>0</v>
      </c>
      <c r="L30" s="231"/>
      <c r="M30" s="222"/>
      <c r="N30" s="225"/>
      <c r="O30" s="123">
        <v>3</v>
      </c>
      <c r="P30" s="136"/>
      <c r="Q30" s="125" t="str">
        <f>IF(OR(R30="Preventivo",R30="Detectivo"),"Probabilidad",IF(R30="Correctivo","Impacto",""))</f>
        <v/>
      </c>
      <c r="R30" s="126"/>
      <c r="S30" s="126"/>
      <c r="T30" s="127" t="str">
        <f t="shared" si="28"/>
        <v/>
      </c>
      <c r="U30" s="126"/>
      <c r="V30" s="126"/>
      <c r="W30" s="126"/>
      <c r="X30" s="128" t="str">
        <f>IFERROR(IF(AND(Q29="Probabilidad",Q30="Probabilidad"),(Z29-(+Z29*T30)),IF(AND(Q29="Impacto",Q30="Probabilidad"),(Z28-(+Z28*T30)),IF(Q30="Impacto",Z29,""))),"")</f>
        <v/>
      </c>
      <c r="Y30" s="129" t="str">
        <f t="shared" si="13"/>
        <v/>
      </c>
      <c r="Z30" s="130" t="str">
        <f t="shared" si="29"/>
        <v/>
      </c>
      <c r="AA30" s="129" t="str">
        <f t="shared" si="15"/>
        <v/>
      </c>
      <c r="AB30" s="130" t="str">
        <f>IFERROR(IF(AND(Q29="Impacto",Q30="Impacto"),(AB29-(+AB29*T30)),IF(AND(Q29="Probabilidad",Q30="Impacto"),(AB28-(+AB28*T30)),IF(Q30="Probabilidad",AB29,""))),"")</f>
        <v/>
      </c>
      <c r="AC30" s="131" t="str">
        <f t="shared" si="30"/>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13"/>
      <c r="B31" s="216"/>
      <c r="C31" s="216"/>
      <c r="D31" s="216"/>
      <c r="E31" s="219"/>
      <c r="F31" s="216"/>
      <c r="G31" s="228"/>
      <c r="H31" s="231"/>
      <c r="I31" s="222"/>
      <c r="J31" s="234"/>
      <c r="K31" s="222">
        <f>IF(NOT(ISERROR(MATCH(J31,_xlfn.ANCHORARRAY(E42),0))),I44&amp;"Por favor no seleccionar los criterios de impacto",J31)</f>
        <v>0</v>
      </c>
      <c r="L31" s="231"/>
      <c r="M31" s="222"/>
      <c r="N31" s="225"/>
      <c r="O31" s="123">
        <v>4</v>
      </c>
      <c r="P31" s="124"/>
      <c r="Q31" s="125" t="str">
        <f t="shared" ref="Q31:Q33" si="31">IF(OR(R31="Preventivo",R31="Detectivo"),"Probabilidad",IF(R31="Correctivo","Impacto",""))</f>
        <v/>
      </c>
      <c r="R31" s="126"/>
      <c r="S31" s="126"/>
      <c r="T31" s="127" t="str">
        <f t="shared" si="28"/>
        <v/>
      </c>
      <c r="U31" s="126"/>
      <c r="V31" s="126"/>
      <c r="W31" s="126"/>
      <c r="X31" s="128" t="str">
        <f t="shared" ref="X31:X33" si="32">IFERROR(IF(AND(Q30="Probabilidad",Q31="Probabilidad"),(Z30-(+Z30*T31)),IF(AND(Q30="Impacto",Q31="Probabilidad"),(Z29-(+Z29*T31)),IF(Q31="Impacto",Z30,""))),"")</f>
        <v/>
      </c>
      <c r="Y31" s="129" t="str">
        <f t="shared" si="13"/>
        <v/>
      </c>
      <c r="Z31" s="130" t="str">
        <f t="shared" si="29"/>
        <v/>
      </c>
      <c r="AA31" s="129" t="str">
        <f t="shared" si="15"/>
        <v/>
      </c>
      <c r="AB31" s="130" t="str">
        <f t="shared" ref="AB31:AB33" si="33">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13"/>
      <c r="B32" s="216"/>
      <c r="C32" s="216"/>
      <c r="D32" s="216"/>
      <c r="E32" s="219"/>
      <c r="F32" s="216"/>
      <c r="G32" s="228"/>
      <c r="H32" s="231"/>
      <c r="I32" s="222"/>
      <c r="J32" s="234"/>
      <c r="K32" s="222">
        <f>IF(NOT(ISERROR(MATCH(J32,_xlfn.ANCHORARRAY(E43),0))),I45&amp;"Por favor no seleccionar los criterios de impacto",J32)</f>
        <v>0</v>
      </c>
      <c r="L32" s="231"/>
      <c r="M32" s="222"/>
      <c r="N32" s="225"/>
      <c r="O32" s="123">
        <v>5</v>
      </c>
      <c r="P32" s="124"/>
      <c r="Q32" s="125" t="str">
        <f t="shared" si="31"/>
        <v/>
      </c>
      <c r="R32" s="126"/>
      <c r="S32" s="126"/>
      <c r="T32" s="127" t="str">
        <f t="shared" si="28"/>
        <v/>
      </c>
      <c r="U32" s="126"/>
      <c r="V32" s="126"/>
      <c r="W32" s="126"/>
      <c r="X32" s="128" t="str">
        <f t="shared" si="32"/>
        <v/>
      </c>
      <c r="Y32" s="129" t="str">
        <f t="shared" si="13"/>
        <v/>
      </c>
      <c r="Z32" s="130" t="str">
        <f t="shared" si="29"/>
        <v/>
      </c>
      <c r="AA32" s="129" t="str">
        <f t="shared" si="15"/>
        <v/>
      </c>
      <c r="AB32" s="130" t="str">
        <f t="shared" si="33"/>
        <v/>
      </c>
      <c r="AC32" s="131" t="str">
        <f t="shared" ref="AC32:AC33" si="3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14"/>
      <c r="B33" s="217"/>
      <c r="C33" s="217"/>
      <c r="D33" s="217"/>
      <c r="E33" s="220"/>
      <c r="F33" s="217"/>
      <c r="G33" s="229"/>
      <c r="H33" s="232"/>
      <c r="I33" s="223"/>
      <c r="J33" s="235"/>
      <c r="K33" s="223">
        <f>IF(NOT(ISERROR(MATCH(J33,_xlfn.ANCHORARRAY(E44),0))),I46&amp;"Por favor no seleccionar los criterios de impacto",J33)</f>
        <v>0</v>
      </c>
      <c r="L33" s="232"/>
      <c r="M33" s="223"/>
      <c r="N33" s="226"/>
      <c r="O33" s="123">
        <v>6</v>
      </c>
      <c r="P33" s="124"/>
      <c r="Q33" s="125" t="str">
        <f t="shared" si="31"/>
        <v/>
      </c>
      <c r="R33" s="126"/>
      <c r="S33" s="126"/>
      <c r="T33" s="127" t="str">
        <f t="shared" si="28"/>
        <v/>
      </c>
      <c r="U33" s="126"/>
      <c r="V33" s="126"/>
      <c r="W33" s="126"/>
      <c r="X33" s="128" t="str">
        <f t="shared" si="32"/>
        <v/>
      </c>
      <c r="Y33" s="129" t="str">
        <f t="shared" si="13"/>
        <v/>
      </c>
      <c r="Z33" s="130" t="str">
        <f t="shared" si="29"/>
        <v/>
      </c>
      <c r="AA33" s="129" t="str">
        <f t="shared" si="15"/>
        <v/>
      </c>
      <c r="AB33" s="130" t="str">
        <f t="shared" si="33"/>
        <v/>
      </c>
      <c r="AC33" s="131" t="str">
        <f t="shared" si="34"/>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12">
        <v>10</v>
      </c>
      <c r="B34" s="215"/>
      <c r="C34" s="215"/>
      <c r="D34" s="215"/>
      <c r="E34" s="218"/>
      <c r="F34" s="215"/>
      <c r="G34" s="227"/>
      <c r="H34" s="230" t="str">
        <f>IF(G34&lt;=0,"",IF(G34&lt;=2,"Muy Baja",IF(G34&lt;=24,"Baja",IF(G34&lt;=500,"Media",IF(G34&lt;=5000,"Alta","Muy Alta")))))</f>
        <v/>
      </c>
      <c r="I34" s="221" t="str">
        <f>IF(H34="","",IF(H34="Muy Baja",0.2,IF(H34="Baja",0.4,IF(H34="Media",0.6,IF(H34="Alta",0.8,IF(H34="Muy Alta",1,))))))</f>
        <v/>
      </c>
      <c r="J34" s="233"/>
      <c r="K34" s="221">
        <f>IF(NOT(ISERROR(MATCH(J34,'Tabla Impacto'!$B$221:$B$223,0))),'Tabla Impacto'!$F$223&amp;"Por favor no seleccionar los criterios de impacto(Afectación Económica o presupuestal y Pérdida Reputacional)",J34)</f>
        <v>0</v>
      </c>
      <c r="L34" s="230" t="str">
        <f>IF(OR(K34='Tabla Impacto'!$C$11,K34='Tabla Impacto'!$D$11),"Leve",IF(OR(K34='Tabla Impacto'!$C$12,K34='Tabla Impacto'!$D$12),"Menor",IF(OR(K34='Tabla Impacto'!$C$13,K34='Tabla Impacto'!$D$13),"Moderado",IF(OR(K34='Tabla Impacto'!$C$14,K34='Tabla Impacto'!$D$14),"Mayor",IF(OR(K34='Tabla Impacto'!$C$15,K34='Tabla Impacto'!$D$15),"Catastrófico","")))))</f>
        <v/>
      </c>
      <c r="M34" s="221" t="str">
        <f>IF(L34="","",IF(L34="Leve",0.2,IF(L34="Menor",0.4,IF(L34="Moderado",0.6,IF(L34="Mayor",0.8,IF(L34="Catastrófico",1,))))))</f>
        <v/>
      </c>
      <c r="N34" s="224"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13"/>
      <c r="B35" s="216"/>
      <c r="C35" s="216"/>
      <c r="D35" s="216"/>
      <c r="E35" s="219"/>
      <c r="F35" s="216"/>
      <c r="G35" s="228"/>
      <c r="H35" s="231"/>
      <c r="I35" s="222"/>
      <c r="J35" s="234"/>
      <c r="K35" s="222">
        <f>IF(NOT(ISERROR(MATCH(J35,_xlfn.ANCHORARRAY(E46),0))),I48&amp;"Por favor no seleccionar los criterios de impacto",J35)</f>
        <v>0</v>
      </c>
      <c r="L35" s="231"/>
      <c r="M35" s="222"/>
      <c r="N35" s="225"/>
      <c r="O35" s="123">
        <v>2</v>
      </c>
      <c r="P35" s="124"/>
      <c r="Q35" s="125" t="str">
        <f>IF(OR(R35="Preventivo",R35="Detectivo"),"Probabilidad",IF(R35="Correctivo","Impacto",""))</f>
        <v/>
      </c>
      <c r="R35" s="126"/>
      <c r="S35" s="126"/>
      <c r="T35" s="127" t="str">
        <f t="shared" ref="T35:T39" si="35">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3"/>
        <v/>
      </c>
      <c r="Z35" s="130" t="str">
        <f t="shared" ref="Z35:Z39" si="36">+X35</f>
        <v/>
      </c>
      <c r="AA35" s="129" t="str">
        <f t="shared" si="15"/>
        <v/>
      </c>
      <c r="AB35" s="130" t="str">
        <f>IFERROR(IF(AND(Q34="Impacto",Q35="Impacto"),(AB34-(+AB34*T35)),IF(Q35="Impacto",(M34-(+M34*T35)),IF(Q35="Probabilidad",AB34,""))),"")</f>
        <v/>
      </c>
      <c r="AC35" s="131" t="str">
        <f t="shared" ref="AC35:AC36" si="37">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row>
    <row r="36" spans="1:68" ht="35.25" customHeight="1" x14ac:dyDescent="0.3">
      <c r="A36" s="213"/>
      <c r="B36" s="216"/>
      <c r="C36" s="216"/>
      <c r="D36" s="216"/>
      <c r="E36" s="219"/>
      <c r="F36" s="216"/>
      <c r="G36" s="228"/>
      <c r="H36" s="231"/>
      <c r="I36" s="222"/>
      <c r="J36" s="234"/>
      <c r="K36" s="222">
        <f>IF(NOT(ISERROR(MATCH(J36,_xlfn.ANCHORARRAY(E47),0))),I49&amp;"Por favor no seleccionar los criterios de impacto",J36)</f>
        <v>0</v>
      </c>
      <c r="L36" s="231"/>
      <c r="M36" s="222"/>
      <c r="N36" s="225"/>
      <c r="O36" s="123">
        <v>3</v>
      </c>
      <c r="P36" s="136"/>
      <c r="Q36" s="125" t="str">
        <f>IF(OR(R36="Preventivo",R36="Detectivo"),"Probabilidad",IF(R36="Correctivo","Impacto",""))</f>
        <v/>
      </c>
      <c r="R36" s="126"/>
      <c r="S36" s="126"/>
      <c r="T36" s="127" t="str">
        <f t="shared" si="35"/>
        <v/>
      </c>
      <c r="U36" s="126"/>
      <c r="V36" s="126"/>
      <c r="W36" s="126"/>
      <c r="X36" s="128" t="str">
        <f>IFERROR(IF(AND(Q35="Probabilidad",Q36="Probabilidad"),(Z35-(+Z35*T36)),IF(AND(Q35="Impacto",Q36="Probabilidad"),(Z34-(+Z34*T36)),IF(Q36="Impacto",Z35,""))),"")</f>
        <v/>
      </c>
      <c r="Y36" s="129" t="str">
        <f t="shared" si="13"/>
        <v/>
      </c>
      <c r="Z36" s="130" t="str">
        <f t="shared" si="36"/>
        <v/>
      </c>
      <c r="AA36" s="129" t="str">
        <f t="shared" si="15"/>
        <v/>
      </c>
      <c r="AB36" s="130" t="str">
        <f>IFERROR(IF(AND(Q35="Impacto",Q36="Impacto"),(AB35-(+AB35*T36)),IF(AND(Q35="Probabilidad",Q36="Impacto"),(AB34-(+AB34*T36)),IF(Q36="Probabilidad",AB35,""))),"")</f>
        <v/>
      </c>
      <c r="AC36" s="131" t="str">
        <f t="shared" si="37"/>
        <v/>
      </c>
      <c r="AD36" s="132"/>
      <c r="AE36" s="133"/>
      <c r="AF36" s="134"/>
      <c r="AG36" s="135"/>
      <c r="AH36" s="135"/>
      <c r="AI36" s="133"/>
      <c r="AJ36" s="134"/>
    </row>
    <row r="37" spans="1:68" ht="35.25" customHeight="1" x14ac:dyDescent="0.3">
      <c r="A37" s="213"/>
      <c r="B37" s="216"/>
      <c r="C37" s="216"/>
      <c r="D37" s="216"/>
      <c r="E37" s="219"/>
      <c r="F37" s="216"/>
      <c r="G37" s="228"/>
      <c r="H37" s="231"/>
      <c r="I37" s="222"/>
      <c r="J37" s="234"/>
      <c r="K37" s="222">
        <f>IF(NOT(ISERROR(MATCH(J37,_xlfn.ANCHORARRAY(E48),0))),I50&amp;"Por favor no seleccionar los criterios de impacto",J37)</f>
        <v>0</v>
      </c>
      <c r="L37" s="231"/>
      <c r="M37" s="222"/>
      <c r="N37" s="225"/>
      <c r="O37" s="123">
        <v>4</v>
      </c>
      <c r="P37" s="124"/>
      <c r="Q37" s="125" t="str">
        <f t="shared" ref="Q37:Q39" si="38">IF(OR(R37="Preventivo",R37="Detectivo"),"Probabilidad",IF(R37="Correctivo","Impacto",""))</f>
        <v/>
      </c>
      <c r="R37" s="126"/>
      <c r="S37" s="126"/>
      <c r="T37" s="127" t="str">
        <f t="shared" si="35"/>
        <v/>
      </c>
      <c r="U37" s="126"/>
      <c r="V37" s="126"/>
      <c r="W37" s="126"/>
      <c r="X37" s="128" t="str">
        <f t="shared" ref="X37:X39" si="39">IFERROR(IF(AND(Q36="Probabilidad",Q37="Probabilidad"),(Z36-(+Z36*T37)),IF(AND(Q36="Impacto",Q37="Probabilidad"),(Z35-(+Z35*T37)),IF(Q37="Impacto",Z36,""))),"")</f>
        <v/>
      </c>
      <c r="Y37" s="129" t="str">
        <f t="shared" si="13"/>
        <v/>
      </c>
      <c r="Z37" s="130" t="str">
        <f t="shared" si="36"/>
        <v/>
      </c>
      <c r="AA37" s="129" t="str">
        <f t="shared" si="15"/>
        <v/>
      </c>
      <c r="AB37" s="130" t="str">
        <f t="shared" ref="AB37:AB39" si="40">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row>
    <row r="38" spans="1:68" ht="35.25" customHeight="1" x14ac:dyDescent="0.3">
      <c r="A38" s="213"/>
      <c r="B38" s="216"/>
      <c r="C38" s="216"/>
      <c r="D38" s="216"/>
      <c r="E38" s="219"/>
      <c r="F38" s="216"/>
      <c r="G38" s="228"/>
      <c r="H38" s="231"/>
      <c r="I38" s="222"/>
      <c r="J38" s="234"/>
      <c r="K38" s="222">
        <f>IF(NOT(ISERROR(MATCH(J38,_xlfn.ANCHORARRAY(E49),0))),I51&amp;"Por favor no seleccionar los criterios de impacto",J38)</f>
        <v>0</v>
      </c>
      <c r="L38" s="231"/>
      <c r="M38" s="222"/>
      <c r="N38" s="225"/>
      <c r="O38" s="123">
        <v>5</v>
      </c>
      <c r="P38" s="124"/>
      <c r="Q38" s="125" t="str">
        <f t="shared" si="38"/>
        <v/>
      </c>
      <c r="R38" s="126"/>
      <c r="S38" s="126"/>
      <c r="T38" s="127" t="str">
        <f t="shared" si="35"/>
        <v/>
      </c>
      <c r="U38" s="126"/>
      <c r="V38" s="126"/>
      <c r="W38" s="126"/>
      <c r="X38" s="128" t="str">
        <f t="shared" si="39"/>
        <v/>
      </c>
      <c r="Y38" s="129" t="str">
        <f t="shared" si="13"/>
        <v/>
      </c>
      <c r="Z38" s="130" t="str">
        <f t="shared" si="36"/>
        <v/>
      </c>
      <c r="AA38" s="129" t="str">
        <f t="shared" si="15"/>
        <v/>
      </c>
      <c r="AB38" s="130" t="str">
        <f t="shared" si="40"/>
        <v/>
      </c>
      <c r="AC38" s="131" t="str">
        <f t="shared" ref="AC38:AC39" si="41">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row>
    <row r="39" spans="1:68" ht="35.25" customHeight="1" x14ac:dyDescent="0.3">
      <c r="A39" s="214"/>
      <c r="B39" s="217"/>
      <c r="C39" s="217"/>
      <c r="D39" s="217"/>
      <c r="E39" s="220"/>
      <c r="F39" s="217"/>
      <c r="G39" s="229"/>
      <c r="H39" s="232"/>
      <c r="I39" s="223"/>
      <c r="J39" s="235"/>
      <c r="K39" s="223">
        <f>IF(NOT(ISERROR(MATCH(J39,_xlfn.ANCHORARRAY(E50),0))),I52&amp;"Por favor no seleccionar los criterios de impacto",J39)</f>
        <v>0</v>
      </c>
      <c r="L39" s="232"/>
      <c r="M39" s="223"/>
      <c r="N39" s="226"/>
      <c r="O39" s="123">
        <v>6</v>
      </c>
      <c r="P39" s="124"/>
      <c r="Q39" s="125" t="str">
        <f t="shared" si="38"/>
        <v/>
      </c>
      <c r="R39" s="126"/>
      <c r="S39" s="126"/>
      <c r="T39" s="127" t="str">
        <f t="shared" si="35"/>
        <v/>
      </c>
      <c r="U39" s="126"/>
      <c r="V39" s="126"/>
      <c r="W39" s="126"/>
      <c r="X39" s="128" t="str">
        <f t="shared" si="39"/>
        <v/>
      </c>
      <c r="Y39" s="129" t="str">
        <f t="shared" si="13"/>
        <v/>
      </c>
      <c r="Z39" s="130" t="str">
        <f t="shared" si="36"/>
        <v/>
      </c>
      <c r="AA39" s="129" t="str">
        <f t="shared" si="15"/>
        <v/>
      </c>
      <c r="AB39" s="130" t="str">
        <f t="shared" si="40"/>
        <v/>
      </c>
      <c r="AC39" s="131" t="str">
        <f t="shared" si="41"/>
        <v/>
      </c>
      <c r="AD39" s="132"/>
      <c r="AE39" s="133"/>
      <c r="AF39" s="134"/>
      <c r="AG39" s="135"/>
      <c r="AH39" s="135"/>
      <c r="AI39" s="133"/>
      <c r="AJ39" s="134"/>
    </row>
    <row r="40" spans="1:68" ht="49.5" customHeight="1" x14ac:dyDescent="0.3">
      <c r="A40" s="6"/>
      <c r="B40" s="245" t="s">
        <v>131</v>
      </c>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7"/>
    </row>
    <row r="42" spans="1:68" x14ac:dyDescent="0.3">
      <c r="A42" s="1"/>
      <c r="B42" s="24" t="s">
        <v>143</v>
      </c>
      <c r="C42" s="1"/>
      <c r="D42" s="1"/>
      <c r="F42" s="1"/>
    </row>
  </sheetData>
  <dataConsolidate/>
  <mergeCells count="101">
    <mergeCell ref="A1:AJ2"/>
    <mergeCell ref="A7:G7"/>
    <mergeCell ref="H7:N7"/>
    <mergeCell ref="O7:W7"/>
    <mergeCell ref="X7:AD7"/>
    <mergeCell ref="AE7:AJ7"/>
    <mergeCell ref="B40:AJ40"/>
    <mergeCell ref="M28:M33"/>
    <mergeCell ref="N28:N33"/>
    <mergeCell ref="A34:A39"/>
    <mergeCell ref="B34:B39"/>
    <mergeCell ref="C34:C39"/>
    <mergeCell ref="D34:D39"/>
    <mergeCell ref="E34:E39"/>
    <mergeCell ref="F34:F39"/>
    <mergeCell ref="G34:G39"/>
    <mergeCell ref="H34:H39"/>
    <mergeCell ref="I34:I39"/>
    <mergeCell ref="J34:J39"/>
    <mergeCell ref="K34:K39"/>
    <mergeCell ref="L34:L39"/>
    <mergeCell ref="M34:M39"/>
    <mergeCell ref="N34:N39"/>
    <mergeCell ref="J28:J33"/>
    <mergeCell ref="K28:K33"/>
    <mergeCell ref="L28:L33"/>
    <mergeCell ref="A28:A33"/>
    <mergeCell ref="B28:B33"/>
    <mergeCell ref="C28:C33"/>
    <mergeCell ref="D28:D33"/>
    <mergeCell ref="E28:E33"/>
    <mergeCell ref="F28:F33"/>
    <mergeCell ref="G28:G33"/>
    <mergeCell ref="H28:H33"/>
    <mergeCell ref="I28:I33"/>
    <mergeCell ref="M16:M21"/>
    <mergeCell ref="N16:N21"/>
    <mergeCell ref="F22:F27"/>
    <mergeCell ref="G22:G27"/>
    <mergeCell ref="H22:H27"/>
    <mergeCell ref="I22:I27"/>
    <mergeCell ref="J22:J27"/>
    <mergeCell ref="F16:F21"/>
    <mergeCell ref="G16:G21"/>
    <mergeCell ref="H16:H21"/>
    <mergeCell ref="I16:I21"/>
    <mergeCell ref="K22:K27"/>
    <mergeCell ref="L22:L27"/>
    <mergeCell ref="M22:M27"/>
    <mergeCell ref="N22:N27"/>
    <mergeCell ref="J16:J21"/>
    <mergeCell ref="K16:K21"/>
    <mergeCell ref="L16:L21"/>
    <mergeCell ref="A22:A27"/>
    <mergeCell ref="B22:B27"/>
    <mergeCell ref="C22:C27"/>
    <mergeCell ref="D22:D27"/>
    <mergeCell ref="E22:E27"/>
    <mergeCell ref="A16:A21"/>
    <mergeCell ref="B16:B21"/>
    <mergeCell ref="C16:C21"/>
    <mergeCell ref="D16:D21"/>
    <mergeCell ref="E16:E21"/>
    <mergeCell ref="A4:B4"/>
    <mergeCell ref="A5:B5"/>
    <mergeCell ref="A6:B6"/>
    <mergeCell ref="A8:A9"/>
    <mergeCell ref="F8:F9"/>
    <mergeCell ref="E8:E9"/>
    <mergeCell ref="D8:D9"/>
    <mergeCell ref="C8:C9"/>
    <mergeCell ref="AD8:AD9"/>
    <mergeCell ref="C6:N6"/>
    <mergeCell ref="O8:O9"/>
    <mergeCell ref="AC8:AC9"/>
    <mergeCell ref="AB8:AB9"/>
    <mergeCell ref="X8:X9"/>
    <mergeCell ref="P8:P9"/>
    <mergeCell ref="C4:N4"/>
    <mergeCell ref="O4:Q4"/>
    <mergeCell ref="B8:B9"/>
    <mergeCell ref="N8:N9"/>
    <mergeCell ref="J8:J9"/>
    <mergeCell ref="K8:K9"/>
    <mergeCell ref="Q8:Q9"/>
    <mergeCell ref="R8:W8"/>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s>
  <conditionalFormatting sqref="H10:H16">
    <cfRule type="cellIs" dxfId="59" priority="1" operator="equal">
      <formula>"Muy Alta"</formula>
    </cfRule>
    <cfRule type="cellIs" dxfId="58" priority="2" operator="equal">
      <formula>"Alta"</formula>
    </cfRule>
    <cfRule type="cellIs" dxfId="57" priority="3" operator="equal">
      <formula>"Media"</formula>
    </cfRule>
    <cfRule type="cellIs" dxfId="56" priority="4" operator="equal">
      <formula>"Baja"</formula>
    </cfRule>
    <cfRule type="cellIs" dxfId="55" priority="5" operator="equal">
      <formula>"Muy Baja"</formula>
    </cfRule>
  </conditionalFormatting>
  <conditionalFormatting sqref="H22">
    <cfRule type="cellIs" dxfId="54" priority="90" operator="equal">
      <formula>"Muy Baja"</formula>
    </cfRule>
    <cfRule type="cellIs" dxfId="53" priority="89" operator="equal">
      <formula>"Baja"</formula>
    </cfRule>
    <cfRule type="cellIs" dxfId="52" priority="88" operator="equal">
      <formula>"Media"</formula>
    </cfRule>
    <cfRule type="cellIs" dxfId="51" priority="87" operator="equal">
      <formula>"Alta"</formula>
    </cfRule>
    <cfRule type="cellIs" dxfId="50" priority="86" operator="equal">
      <formula>"Muy Alta"</formula>
    </cfRule>
  </conditionalFormatting>
  <conditionalFormatting sqref="H28">
    <cfRule type="cellIs" dxfId="49" priority="62" operator="equal">
      <formula>"Muy Baja"</formula>
    </cfRule>
    <cfRule type="cellIs" dxfId="48" priority="61" operator="equal">
      <formula>"Baja"</formula>
    </cfRule>
    <cfRule type="cellIs" dxfId="47" priority="60" operator="equal">
      <formula>"Media"</formula>
    </cfRule>
    <cfRule type="cellIs" dxfId="46" priority="59" operator="equal">
      <formula>"Alta"</formula>
    </cfRule>
    <cfRule type="cellIs" dxfId="45" priority="58" operator="equal">
      <formula>"Muy Alta"</formula>
    </cfRule>
  </conditionalFormatting>
  <conditionalFormatting sqref="H34">
    <cfRule type="cellIs" dxfId="44" priority="32" operator="equal">
      <formula>"Media"</formula>
    </cfRule>
    <cfRule type="cellIs" dxfId="43" priority="34" operator="equal">
      <formula>"Muy Baja"</formula>
    </cfRule>
    <cfRule type="cellIs" dxfId="42" priority="33" operator="equal">
      <formula>"Baja"</formula>
    </cfRule>
    <cfRule type="cellIs" dxfId="41" priority="30" operator="equal">
      <formula>"Muy Alta"</formula>
    </cfRule>
    <cfRule type="cellIs" dxfId="40" priority="31" operator="equal">
      <formula>"Alta"</formula>
    </cfRule>
  </conditionalFormatting>
  <conditionalFormatting sqref="K10:K39">
    <cfRule type="containsText" dxfId="39" priority="6" operator="containsText" text="❌">
      <formula>NOT(ISERROR(SEARCH("❌",K10)))</formula>
    </cfRule>
  </conditionalFormatting>
  <conditionalFormatting sqref="L10:L16 L22 L28 L34">
    <cfRule type="cellIs" dxfId="38" priority="322" operator="equal">
      <formula>"Menor"</formula>
    </cfRule>
    <cfRule type="cellIs" dxfId="37" priority="321" operator="equal">
      <formula>"Moderado"</formula>
    </cfRule>
    <cfRule type="cellIs" dxfId="36" priority="320" operator="equal">
      <formula>"Mayor"</formula>
    </cfRule>
    <cfRule type="cellIs" dxfId="35" priority="319" operator="equal">
      <formula>"Catastrófico"</formula>
    </cfRule>
    <cfRule type="cellIs" dxfId="34" priority="323" operator="equal">
      <formula>"Leve"</formula>
    </cfRule>
  </conditionalFormatting>
  <conditionalFormatting sqref="N10:N16">
    <cfRule type="cellIs" dxfId="33" priority="107" operator="equal">
      <formula>"Moderado"</formula>
    </cfRule>
    <cfRule type="cellIs" dxfId="32" priority="108" operator="equal">
      <formula>"Bajo"</formula>
    </cfRule>
    <cfRule type="cellIs" dxfId="31" priority="106" operator="equal">
      <formula>"Alto"</formula>
    </cfRule>
    <cfRule type="cellIs" dxfId="30" priority="105" operator="equal">
      <formula>"Extremo"</formula>
    </cfRule>
  </conditionalFormatting>
  <conditionalFormatting sqref="N22">
    <cfRule type="cellIs" dxfId="29" priority="77" operator="equal">
      <formula>"Extremo"</formula>
    </cfRule>
    <cfRule type="cellIs" dxfId="28" priority="78" operator="equal">
      <formula>"Alto"</formula>
    </cfRule>
    <cfRule type="cellIs" dxfId="27" priority="79" operator="equal">
      <formula>"Moderado"</formula>
    </cfRule>
    <cfRule type="cellIs" dxfId="26" priority="80" operator="equal">
      <formula>"Bajo"</formula>
    </cfRule>
  </conditionalFormatting>
  <conditionalFormatting sqref="N28">
    <cfRule type="cellIs" dxfId="25" priority="52" operator="equal">
      <formula>"Bajo"</formula>
    </cfRule>
    <cfRule type="cellIs" dxfId="24" priority="49" operator="equal">
      <formula>"Extremo"</formula>
    </cfRule>
    <cfRule type="cellIs" dxfId="23" priority="50" operator="equal">
      <formula>"Alto"</formula>
    </cfRule>
    <cfRule type="cellIs" dxfId="22" priority="51" operator="equal">
      <formula>"Moderado"</formula>
    </cfRule>
  </conditionalFormatting>
  <conditionalFormatting sqref="N34">
    <cfRule type="cellIs" dxfId="21" priority="24" operator="equal">
      <formula>"Bajo"</formula>
    </cfRule>
    <cfRule type="cellIs" dxfId="20" priority="23" operator="equal">
      <formula>"Moderado"</formula>
    </cfRule>
    <cfRule type="cellIs" dxfId="19" priority="22" operator="equal">
      <formula>"Alto"</formula>
    </cfRule>
    <cfRule type="cellIs" dxfId="18" priority="21" operator="equal">
      <formula>"Extremo"</formula>
    </cfRule>
  </conditionalFormatting>
  <conditionalFormatting sqref="Y10:Y39">
    <cfRule type="cellIs" dxfId="17" priority="20" operator="equal">
      <formula>"Muy Baja"</formula>
    </cfRule>
    <cfRule type="cellIs" dxfId="16" priority="19" operator="equal">
      <formula>"Baja"</formula>
    </cfRule>
    <cfRule type="cellIs" dxfId="15" priority="18" operator="equal">
      <formula>"Media"</formula>
    </cfRule>
    <cfRule type="cellIs" dxfId="14" priority="17" operator="equal">
      <formula>"Alta"</formula>
    </cfRule>
    <cfRule type="cellIs" dxfId="13" priority="16" operator="equal">
      <formula>"Muy Alta"</formula>
    </cfRule>
  </conditionalFormatting>
  <conditionalFormatting sqref="AA10:AA39">
    <cfRule type="cellIs" dxfId="12" priority="14" operator="equal">
      <formula>"Menor"</formula>
    </cfRule>
    <cfRule type="cellIs" dxfId="11" priority="15" operator="equal">
      <formula>"Leve"</formula>
    </cfRule>
    <cfRule type="cellIs" dxfId="10" priority="13" operator="equal">
      <formula>"Moderado"</formula>
    </cfRule>
    <cfRule type="cellIs" dxfId="9" priority="12" operator="equal">
      <formula>"Mayor"</formula>
    </cfRule>
    <cfRule type="cellIs" dxfId="8" priority="11" operator="equal">
      <formula>"Catastrófico"</formula>
    </cfRule>
  </conditionalFormatting>
  <conditionalFormatting sqref="AC10:AC39">
    <cfRule type="cellIs" dxfId="7" priority="7" operator="equal">
      <formula>"Extremo"</formula>
    </cfRule>
    <cfRule type="cellIs" dxfId="6" priority="9" operator="equal">
      <formula>"Moderado"</formula>
    </cfRule>
    <cfRule type="cellIs" dxfId="5" priority="8" operator="equal">
      <formula>"Alto"</formula>
    </cfRule>
    <cfRule type="cellIs" dxfId="4" priority="10"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AJ10:AJ17 AJ19:AJ20 AJ22:AJ23 AJ25:AJ26 AJ28:AJ29 AJ31:AJ32 AJ34:AJ35 AJ37:AJ38</xm:sqref>
        </x14:dataValidation>
        <x14:dataValidation type="list" allowBlank="1" showInputMessage="1" showErrorMessage="1" xr:uid="{00000000-0002-0000-0100-000001000000}">
          <x14:formula1>
            <xm:f>'Tabla Valoración controles'!$D$4:$D$6</xm:f>
          </x14:formula1>
          <xm:sqref>R10:R39</xm:sqref>
        </x14:dataValidation>
        <x14:dataValidation type="list" allowBlank="1" showInputMessage="1" showErrorMessage="1" xr:uid="{00000000-0002-0000-0100-000002000000}">
          <x14:formula1>
            <xm:f>'Tabla Valoración controles'!$D$7:$D$8</xm:f>
          </x14:formula1>
          <xm:sqref>S10:S39</xm:sqref>
        </x14:dataValidation>
        <x14:dataValidation type="list" allowBlank="1" showInputMessage="1" showErrorMessage="1" xr:uid="{00000000-0002-0000-0100-000003000000}">
          <x14:formula1>
            <xm:f>'Tabla Valoración controles'!$D$9:$D$10</xm:f>
          </x14:formula1>
          <xm:sqref>U10:U39</xm:sqref>
        </x14:dataValidation>
        <x14:dataValidation type="list" allowBlank="1" showInputMessage="1" showErrorMessage="1" xr:uid="{00000000-0002-0000-0100-000004000000}">
          <x14:formula1>
            <xm:f>'Tabla Valoración controles'!$D$11:$D$12</xm:f>
          </x14:formula1>
          <xm:sqref>V10:V39</xm:sqref>
        </x14:dataValidation>
        <x14:dataValidation type="list" allowBlank="1" showInputMessage="1" showErrorMessage="1" xr:uid="{00000000-0002-0000-0100-000005000000}">
          <x14:formula1>
            <xm:f>'Tabla Valoración controles'!$D$13:$D$14</xm:f>
          </x14:formula1>
          <xm:sqref>W10:W39</xm:sqref>
        </x14:dataValidation>
        <x14:dataValidation type="list" allowBlank="1" showInputMessage="1" showErrorMessage="1" xr:uid="{00000000-0002-0000-0100-000006000000}">
          <x14:formula1>
            <xm:f>'Opciones Tratamiento'!$B$13:$B$19</xm:f>
          </x14:formula1>
          <xm:sqref>F10:F39</xm:sqref>
        </x14:dataValidation>
        <x14:dataValidation type="list" allowBlank="1" showInputMessage="1" showErrorMessage="1" xr:uid="{00000000-0002-0000-0100-000007000000}">
          <x14:formula1>
            <xm:f>'Opciones Tratamiento'!$E$2:$E$4</xm:f>
          </x14:formula1>
          <xm:sqref>B10:B39</xm:sqref>
        </x14:dataValidation>
        <x14:dataValidation type="list" allowBlank="1" showInputMessage="1" showErrorMessage="1" xr:uid="{00000000-0002-0000-0100-000008000000}">
          <x14:formula1>
            <xm:f>'Opciones Tratamiento'!$B$2:$B$5</xm:f>
          </x14:formula1>
          <xm:sqref>AD10:AD39</xm:sqref>
        </x14:dataValidation>
        <x14:dataValidation type="list" allowBlank="1" showInputMessage="1" showErrorMessage="1" xr:uid="{00000000-0002-0000-0100-000009000000}">
          <x14:formula1>
            <xm:f>'Tabla Impacto'!$F$210:$F$221</xm:f>
          </x14:formula1>
          <xm:sqref>J10:J39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AE10:AE39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AF10:AF39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AG10:AG39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AH10:AH39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48" t="s">
        <v>161</v>
      </c>
      <c r="C2" s="248"/>
      <c r="D2" s="248"/>
      <c r="E2" s="248"/>
      <c r="F2" s="248"/>
      <c r="G2" s="248"/>
      <c r="H2" s="248"/>
      <c r="I2" s="248"/>
      <c r="J2" s="285" t="s">
        <v>2</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48"/>
      <c r="C3" s="248"/>
      <c r="D3" s="248"/>
      <c r="E3" s="248"/>
      <c r="F3" s="248"/>
      <c r="G3" s="248"/>
      <c r="H3" s="248"/>
      <c r="I3" s="248"/>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48"/>
      <c r="C4" s="248"/>
      <c r="D4" s="248"/>
      <c r="E4" s="248"/>
      <c r="F4" s="248"/>
      <c r="G4" s="248"/>
      <c r="H4" s="248"/>
      <c r="I4" s="248"/>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96" t="s">
        <v>4</v>
      </c>
      <c r="C6" s="296"/>
      <c r="D6" s="297"/>
      <c r="E6" s="286" t="s">
        <v>116</v>
      </c>
      <c r="F6" s="287"/>
      <c r="G6" s="287"/>
      <c r="H6" s="287"/>
      <c r="I6" s="288"/>
      <c r="J6" s="282" t="str">
        <f>IF(AND('Mapa final'!$H$10="Muy Alta",'Mapa final'!$L$10="Leve"),CONCATENATE("R",'Mapa final'!$A$10),"")</f>
        <v/>
      </c>
      <c r="K6" s="283"/>
      <c r="L6" s="283" t="str">
        <f>IF(AND('Mapa final'!$H$11="Muy Alta",'Mapa final'!$L$11="Leve"),CONCATENATE("R",'Mapa final'!$A$11),"")</f>
        <v/>
      </c>
      <c r="M6" s="283"/>
      <c r="N6" s="283" t="str">
        <f>IF(AND('Mapa final'!$H$12="Muy Alta",'Mapa final'!$L$12="Leve"),CONCATENATE("R",'Mapa final'!$A$12),"")</f>
        <v/>
      </c>
      <c r="O6" s="284"/>
      <c r="P6" s="282" t="str">
        <f>IF(AND('Mapa final'!$H$10="Muy Alta",'Mapa final'!$L$10="Menor"),CONCATENATE("R",'Mapa final'!$A$10),"")</f>
        <v/>
      </c>
      <c r="Q6" s="283"/>
      <c r="R6" s="283" t="str">
        <f>IF(AND('Mapa final'!$H$11="Muy Alta",'Mapa final'!$L$11="Menor"),CONCATENATE("R",'Mapa final'!$A$11),"")</f>
        <v/>
      </c>
      <c r="S6" s="283"/>
      <c r="T6" s="283" t="str">
        <f>IF(AND('Mapa final'!$H$12="Muy Alta",'Mapa final'!$L$12="Menor"),CONCATENATE("R",'Mapa final'!$A$12),"")</f>
        <v/>
      </c>
      <c r="U6" s="284"/>
      <c r="V6" s="282" t="str">
        <f>IF(AND('Mapa final'!$H$10="Muy Alta",'Mapa final'!$L$10="Moderado"),CONCATENATE("R",'Mapa final'!$A$10),"")</f>
        <v/>
      </c>
      <c r="W6" s="283"/>
      <c r="X6" s="283" t="str">
        <f>IF(AND('Mapa final'!$H$11="Muy Alta",'Mapa final'!$L$11="Moderado"),CONCATENATE("R",'Mapa final'!$A$11),"")</f>
        <v/>
      </c>
      <c r="Y6" s="283"/>
      <c r="Z6" s="283" t="str">
        <f>IF(AND('Mapa final'!$H$12="Muy Alta",'Mapa final'!$L$12="Moderado"),CONCATENATE("R",'Mapa final'!$A$12),"")</f>
        <v/>
      </c>
      <c r="AA6" s="284"/>
      <c r="AB6" s="282" t="str">
        <f>IF(AND('Mapa final'!$H$10="Muy Alta",'Mapa final'!$L$10="Mayor"),CONCATENATE("R",'Mapa final'!$A$10),"")</f>
        <v/>
      </c>
      <c r="AC6" s="283"/>
      <c r="AD6" s="283" t="str">
        <f>IF(AND('Mapa final'!$H$11="Muy Alta",'Mapa final'!$L$11="Mayor"),CONCATENATE("R",'Mapa final'!$A$11),"")</f>
        <v/>
      </c>
      <c r="AE6" s="283"/>
      <c r="AF6" s="283" t="str">
        <f>IF(AND('Mapa final'!$H$12="Muy Alta",'Mapa final'!$L$12="Mayor"),CONCATENATE("R",'Mapa final'!$A$12),"")</f>
        <v/>
      </c>
      <c r="AG6" s="284"/>
      <c r="AH6" s="273" t="str">
        <f>IF(AND('Mapa final'!$H$10="Muy Alta",'Mapa final'!$L$10="Catastrófico"),CONCATENATE("R",'Mapa final'!$A$10),"")</f>
        <v/>
      </c>
      <c r="AI6" s="274"/>
      <c r="AJ6" s="274" t="str">
        <f>IF(AND('Mapa final'!$H$11="Muy Alta",'Mapa final'!$L$11="Catastrófico"),CONCATENATE("R",'Mapa final'!$A$11),"")</f>
        <v/>
      </c>
      <c r="AK6" s="274"/>
      <c r="AL6" s="274" t="str">
        <f>IF(AND('Mapa final'!$H$12="Muy Alta",'Mapa final'!$L$12="Catastrófico"),CONCATENATE("R",'Mapa final'!$A$12),"")</f>
        <v/>
      </c>
      <c r="AM6" s="275"/>
      <c r="AO6" s="298" t="s">
        <v>79</v>
      </c>
      <c r="AP6" s="299"/>
      <c r="AQ6" s="299"/>
      <c r="AR6" s="299"/>
      <c r="AS6" s="299"/>
      <c r="AT6" s="30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96"/>
      <c r="C7" s="296"/>
      <c r="D7" s="297"/>
      <c r="E7" s="289"/>
      <c r="F7" s="290"/>
      <c r="G7" s="290"/>
      <c r="H7" s="290"/>
      <c r="I7" s="291"/>
      <c r="J7" s="276"/>
      <c r="K7" s="277"/>
      <c r="L7" s="277"/>
      <c r="M7" s="277"/>
      <c r="N7" s="277"/>
      <c r="O7" s="278"/>
      <c r="P7" s="276"/>
      <c r="Q7" s="277"/>
      <c r="R7" s="277"/>
      <c r="S7" s="277"/>
      <c r="T7" s="277"/>
      <c r="U7" s="278"/>
      <c r="V7" s="276"/>
      <c r="W7" s="277"/>
      <c r="X7" s="277"/>
      <c r="Y7" s="277"/>
      <c r="Z7" s="277"/>
      <c r="AA7" s="278"/>
      <c r="AB7" s="276"/>
      <c r="AC7" s="277"/>
      <c r="AD7" s="277"/>
      <c r="AE7" s="277"/>
      <c r="AF7" s="277"/>
      <c r="AG7" s="278"/>
      <c r="AH7" s="267"/>
      <c r="AI7" s="268"/>
      <c r="AJ7" s="268"/>
      <c r="AK7" s="268"/>
      <c r="AL7" s="268"/>
      <c r="AM7" s="269"/>
      <c r="AN7" s="83"/>
      <c r="AO7" s="301"/>
      <c r="AP7" s="302"/>
      <c r="AQ7" s="302"/>
      <c r="AR7" s="302"/>
      <c r="AS7" s="302"/>
      <c r="AT7" s="30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96"/>
      <c r="C8" s="296"/>
      <c r="D8" s="297"/>
      <c r="E8" s="289"/>
      <c r="F8" s="290"/>
      <c r="G8" s="290"/>
      <c r="H8" s="290"/>
      <c r="I8" s="291"/>
      <c r="J8" s="276" t="str">
        <f>IF(AND('Mapa final'!$H$13="Muy Alta",'Mapa final'!$L$13="Leve"),CONCATENATE("R",'Mapa final'!$A$13),"")</f>
        <v/>
      </c>
      <c r="K8" s="277"/>
      <c r="L8" s="277" t="str">
        <f>IF(AND('Mapa final'!$H$14="Muy Alta",'Mapa final'!$L$14="Leve"),CONCATENATE("R",'Mapa final'!$A$14),"")</f>
        <v/>
      </c>
      <c r="M8" s="277"/>
      <c r="N8" s="277" t="str">
        <f>IF(AND('Mapa final'!$H$15="Muy Alta",'Mapa final'!$L$15="Leve"),CONCATENATE("R",'Mapa final'!$A$15),"")</f>
        <v/>
      </c>
      <c r="O8" s="278"/>
      <c r="P8" s="276" t="str">
        <f>IF(AND('Mapa final'!$H$13="Muy Alta",'Mapa final'!$L$13="Menor"),CONCATENATE("R",'Mapa final'!$A$13),"")</f>
        <v/>
      </c>
      <c r="Q8" s="277"/>
      <c r="R8" s="277" t="str">
        <f>IF(AND('Mapa final'!$H$14="Muy Alta",'Mapa final'!$L$14="Menor"),CONCATENATE("R",'Mapa final'!$A$14),"")</f>
        <v/>
      </c>
      <c r="S8" s="277"/>
      <c r="T8" s="277" t="str">
        <f>IF(AND('Mapa final'!$H$15="Muy Alta",'Mapa final'!$L$15="Menor"),CONCATENATE("R",'Mapa final'!$A$15),"")</f>
        <v/>
      </c>
      <c r="U8" s="278"/>
      <c r="V8" s="276" t="str">
        <f>IF(AND('Mapa final'!$H$13="Muy Alta",'Mapa final'!$L$13="Moderado"),CONCATENATE("R",'Mapa final'!$A$13),"")</f>
        <v/>
      </c>
      <c r="W8" s="277"/>
      <c r="X8" s="277" t="str">
        <f>IF(AND('Mapa final'!$H$14="Muy Alta",'Mapa final'!$L$14="Moderado"),CONCATENATE("R",'Mapa final'!$A$14),"")</f>
        <v/>
      </c>
      <c r="Y8" s="277"/>
      <c r="Z8" s="277" t="str">
        <f>IF(AND('Mapa final'!$H$15="Muy Alta",'Mapa final'!$L$15="Moderado"),CONCATENATE("R",'Mapa final'!$A$15),"")</f>
        <v/>
      </c>
      <c r="AA8" s="278"/>
      <c r="AB8" s="276" t="str">
        <f>IF(AND('Mapa final'!$H$13="Muy Alta",'Mapa final'!$L$13="Mayor"),CONCATENATE("R",'Mapa final'!$A$13),"")</f>
        <v/>
      </c>
      <c r="AC8" s="277"/>
      <c r="AD8" s="277" t="str">
        <f>IF(AND('Mapa final'!$H$14="Muy Alta",'Mapa final'!$L$14="Mayor"),CONCATENATE("R",'Mapa final'!$A$14),"")</f>
        <v/>
      </c>
      <c r="AE8" s="277"/>
      <c r="AF8" s="277" t="str">
        <f>IF(AND('Mapa final'!$H$15="Muy Alta",'Mapa final'!$L$15="Mayor"),CONCATENATE("R",'Mapa final'!$A$15),"")</f>
        <v/>
      </c>
      <c r="AG8" s="278"/>
      <c r="AH8" s="267" t="str">
        <f>IF(AND('Mapa final'!$H$13="Muy Alta",'Mapa final'!$L$13="Catastrófico"),CONCATENATE("R",'Mapa final'!$A$13),"")</f>
        <v/>
      </c>
      <c r="AI8" s="268"/>
      <c r="AJ8" s="268" t="str">
        <f>IF(AND('Mapa final'!$H$14="Muy Alta",'Mapa final'!$L$14="Catastrófico"),CONCATENATE("R",'Mapa final'!$A$14),"")</f>
        <v/>
      </c>
      <c r="AK8" s="268"/>
      <c r="AL8" s="268" t="str">
        <f>IF(AND('Mapa final'!$H$15="Muy Alta",'Mapa final'!$L$15="Catastrófico"),CONCATENATE("R",'Mapa final'!$A$15),"")</f>
        <v/>
      </c>
      <c r="AM8" s="269"/>
      <c r="AN8" s="83"/>
      <c r="AO8" s="301"/>
      <c r="AP8" s="302"/>
      <c r="AQ8" s="302"/>
      <c r="AR8" s="302"/>
      <c r="AS8" s="302"/>
      <c r="AT8" s="30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96"/>
      <c r="C9" s="296"/>
      <c r="D9" s="297"/>
      <c r="E9" s="289"/>
      <c r="F9" s="290"/>
      <c r="G9" s="290"/>
      <c r="H9" s="290"/>
      <c r="I9" s="291"/>
      <c r="J9" s="276"/>
      <c r="K9" s="277"/>
      <c r="L9" s="277"/>
      <c r="M9" s="277"/>
      <c r="N9" s="277"/>
      <c r="O9" s="278"/>
      <c r="P9" s="276"/>
      <c r="Q9" s="277"/>
      <c r="R9" s="277"/>
      <c r="S9" s="277"/>
      <c r="T9" s="277"/>
      <c r="U9" s="278"/>
      <c r="V9" s="276"/>
      <c r="W9" s="277"/>
      <c r="X9" s="277"/>
      <c r="Y9" s="277"/>
      <c r="Z9" s="277"/>
      <c r="AA9" s="278"/>
      <c r="AB9" s="276"/>
      <c r="AC9" s="277"/>
      <c r="AD9" s="277"/>
      <c r="AE9" s="277"/>
      <c r="AF9" s="277"/>
      <c r="AG9" s="278"/>
      <c r="AH9" s="267"/>
      <c r="AI9" s="268"/>
      <c r="AJ9" s="268"/>
      <c r="AK9" s="268"/>
      <c r="AL9" s="268"/>
      <c r="AM9" s="269"/>
      <c r="AN9" s="83"/>
      <c r="AO9" s="301"/>
      <c r="AP9" s="302"/>
      <c r="AQ9" s="302"/>
      <c r="AR9" s="302"/>
      <c r="AS9" s="302"/>
      <c r="AT9" s="30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96"/>
      <c r="C10" s="296"/>
      <c r="D10" s="297"/>
      <c r="E10" s="289"/>
      <c r="F10" s="290"/>
      <c r="G10" s="290"/>
      <c r="H10" s="290"/>
      <c r="I10" s="291"/>
      <c r="J10" s="276" t="str">
        <f>IF(AND('Mapa final'!$H$16="Muy Alta",'Mapa final'!$L$16="Leve"),CONCATENATE("R",'Mapa final'!$A$16),"")</f>
        <v/>
      </c>
      <c r="K10" s="277"/>
      <c r="L10" s="277" t="str">
        <f>IF(AND('Mapa final'!$H$22="Muy Alta",'Mapa final'!$L$22="Leve"),CONCATENATE("R",'Mapa final'!$A$22),"")</f>
        <v/>
      </c>
      <c r="M10" s="277"/>
      <c r="N10" s="277" t="str">
        <f>IF(AND('Mapa final'!$H$28="Muy Alta",'Mapa final'!$L$28="Leve"),CONCATENATE("R",'Mapa final'!$A$28),"")</f>
        <v/>
      </c>
      <c r="O10" s="278"/>
      <c r="P10" s="276" t="str">
        <f>IF(AND('Mapa final'!$H$16="Muy Alta",'Mapa final'!$L$16="Menor"),CONCATENATE("R",'Mapa final'!$A$16),"")</f>
        <v/>
      </c>
      <c r="Q10" s="277"/>
      <c r="R10" s="277" t="str">
        <f>IF(AND('Mapa final'!$H$22="Muy Alta",'Mapa final'!$L$22="Menor"),CONCATENATE("R",'Mapa final'!$A$22),"")</f>
        <v/>
      </c>
      <c r="S10" s="277"/>
      <c r="T10" s="277" t="str">
        <f>IF(AND('Mapa final'!$H$28="Muy Alta",'Mapa final'!$L$28="Menor"),CONCATENATE("R",'Mapa final'!$A$28),"")</f>
        <v/>
      </c>
      <c r="U10" s="278"/>
      <c r="V10" s="276" t="str">
        <f>IF(AND('Mapa final'!$H$16="Muy Alta",'Mapa final'!$L$16="Moderado"),CONCATENATE("R",'Mapa final'!$A$16),"")</f>
        <v/>
      </c>
      <c r="W10" s="277"/>
      <c r="X10" s="277" t="str">
        <f>IF(AND('Mapa final'!$H$22="Muy Alta",'Mapa final'!$L$22="Moderado"),CONCATENATE("R",'Mapa final'!$A$22),"")</f>
        <v/>
      </c>
      <c r="Y10" s="277"/>
      <c r="Z10" s="277" t="str">
        <f>IF(AND('Mapa final'!$H$28="Muy Alta",'Mapa final'!$L$28="Moderado"),CONCATENATE("R",'Mapa final'!$A$28),"")</f>
        <v/>
      </c>
      <c r="AA10" s="278"/>
      <c r="AB10" s="276" t="str">
        <f>IF(AND('Mapa final'!$H$16="Muy Alta",'Mapa final'!$L$16="Mayor"),CONCATENATE("R",'Mapa final'!$A$16),"")</f>
        <v/>
      </c>
      <c r="AC10" s="277"/>
      <c r="AD10" s="277" t="str">
        <f>IF(AND('Mapa final'!$H$22="Muy Alta",'Mapa final'!$L$22="Mayor"),CONCATENATE("R",'Mapa final'!$A$22),"")</f>
        <v/>
      </c>
      <c r="AE10" s="277"/>
      <c r="AF10" s="277" t="str">
        <f>IF(AND('Mapa final'!$H$28="Muy Alta",'Mapa final'!$L$28="Mayor"),CONCATENATE("R",'Mapa final'!$A$28),"")</f>
        <v/>
      </c>
      <c r="AG10" s="278"/>
      <c r="AH10" s="267" t="str">
        <f>IF(AND('Mapa final'!$H$16="Muy Alta",'Mapa final'!$L$16="Catastrófico"),CONCATENATE("R",'Mapa final'!$A$16),"")</f>
        <v/>
      </c>
      <c r="AI10" s="268"/>
      <c r="AJ10" s="268" t="str">
        <f>IF(AND('Mapa final'!$H$22="Muy Alta",'Mapa final'!$L$22="Catastrófico"),CONCATENATE("R",'Mapa final'!$A$22),"")</f>
        <v/>
      </c>
      <c r="AK10" s="268"/>
      <c r="AL10" s="268" t="str">
        <f>IF(AND('Mapa final'!$H$28="Muy Alta",'Mapa final'!$L$28="Catastrófico"),CONCATENATE("R",'Mapa final'!$A$28),"")</f>
        <v/>
      </c>
      <c r="AM10" s="269"/>
      <c r="AN10" s="83"/>
      <c r="AO10" s="301"/>
      <c r="AP10" s="302"/>
      <c r="AQ10" s="302"/>
      <c r="AR10" s="302"/>
      <c r="AS10" s="302"/>
      <c r="AT10" s="30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96"/>
      <c r="C11" s="296"/>
      <c r="D11" s="297"/>
      <c r="E11" s="289"/>
      <c r="F11" s="290"/>
      <c r="G11" s="290"/>
      <c r="H11" s="290"/>
      <c r="I11" s="291"/>
      <c r="J11" s="276"/>
      <c r="K11" s="277"/>
      <c r="L11" s="277"/>
      <c r="M11" s="277"/>
      <c r="N11" s="277"/>
      <c r="O11" s="278"/>
      <c r="P11" s="276"/>
      <c r="Q11" s="277"/>
      <c r="R11" s="277"/>
      <c r="S11" s="277"/>
      <c r="T11" s="277"/>
      <c r="U11" s="278"/>
      <c r="V11" s="276"/>
      <c r="W11" s="277"/>
      <c r="X11" s="277"/>
      <c r="Y11" s="277"/>
      <c r="Z11" s="277"/>
      <c r="AA11" s="278"/>
      <c r="AB11" s="276"/>
      <c r="AC11" s="277"/>
      <c r="AD11" s="277"/>
      <c r="AE11" s="277"/>
      <c r="AF11" s="277"/>
      <c r="AG11" s="278"/>
      <c r="AH11" s="267"/>
      <c r="AI11" s="268"/>
      <c r="AJ11" s="268"/>
      <c r="AK11" s="268"/>
      <c r="AL11" s="268"/>
      <c r="AM11" s="269"/>
      <c r="AN11" s="83"/>
      <c r="AO11" s="301"/>
      <c r="AP11" s="302"/>
      <c r="AQ11" s="302"/>
      <c r="AR11" s="302"/>
      <c r="AS11" s="302"/>
      <c r="AT11" s="30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96"/>
      <c r="C12" s="296"/>
      <c r="D12" s="297"/>
      <c r="E12" s="289"/>
      <c r="F12" s="290"/>
      <c r="G12" s="290"/>
      <c r="H12" s="290"/>
      <c r="I12" s="291"/>
      <c r="J12" s="276" t="str">
        <f>IF(AND('Mapa final'!$H$34="Muy Alta",'Mapa final'!$L$34="Leve"),CONCATENATE("R",'Mapa final'!$A$34),"")</f>
        <v/>
      </c>
      <c r="K12" s="277"/>
      <c r="L12" s="277" t="str">
        <f>IF(AND('Mapa final'!$H$40="Muy Alta",'Mapa final'!$L$40="Leve"),CONCATENATE("R",'Mapa final'!$A$40),"")</f>
        <v/>
      </c>
      <c r="M12" s="277"/>
      <c r="N12" s="277" t="str">
        <f>IF(AND('Mapa final'!$H$46="Muy Alta",'Mapa final'!$L$46="Leve"),CONCATENATE("R",'Mapa final'!$A$46),"")</f>
        <v/>
      </c>
      <c r="O12" s="278"/>
      <c r="P12" s="276" t="str">
        <f>IF(AND('Mapa final'!$H$34="Muy Alta",'Mapa final'!$L$34="Menor"),CONCATENATE("R",'Mapa final'!$A$34),"")</f>
        <v/>
      </c>
      <c r="Q12" s="277"/>
      <c r="R12" s="277" t="str">
        <f>IF(AND('Mapa final'!$H$40="Muy Alta",'Mapa final'!$L$40="Menor"),CONCATENATE("R",'Mapa final'!$A$40),"")</f>
        <v/>
      </c>
      <c r="S12" s="277"/>
      <c r="T12" s="277" t="str">
        <f>IF(AND('Mapa final'!$H$46="Muy Alta",'Mapa final'!$L$46="Menor"),CONCATENATE("R",'Mapa final'!$A$46),"")</f>
        <v/>
      </c>
      <c r="U12" s="278"/>
      <c r="V12" s="276" t="str">
        <f>IF(AND('Mapa final'!$H$34="Muy Alta",'Mapa final'!$L$34="Moderado"),CONCATENATE("R",'Mapa final'!$A$34),"")</f>
        <v/>
      </c>
      <c r="W12" s="277"/>
      <c r="X12" s="277" t="str">
        <f>IF(AND('Mapa final'!$H$40="Muy Alta",'Mapa final'!$L$40="Moderado"),CONCATENATE("R",'Mapa final'!$A$40),"")</f>
        <v/>
      </c>
      <c r="Y12" s="277"/>
      <c r="Z12" s="277" t="str">
        <f>IF(AND('Mapa final'!$H$46="Muy Alta",'Mapa final'!$L$46="Moderado"),CONCATENATE("R",'Mapa final'!$A$46),"")</f>
        <v/>
      </c>
      <c r="AA12" s="278"/>
      <c r="AB12" s="276" t="str">
        <f>IF(AND('Mapa final'!$H$34="Muy Alta",'Mapa final'!$L$34="Mayor"),CONCATENATE("R",'Mapa final'!$A$34),"")</f>
        <v/>
      </c>
      <c r="AC12" s="277"/>
      <c r="AD12" s="277" t="str">
        <f>IF(AND('Mapa final'!$H$40="Muy Alta",'Mapa final'!$L$40="Mayor"),CONCATENATE("R",'Mapa final'!$A$40),"")</f>
        <v/>
      </c>
      <c r="AE12" s="277"/>
      <c r="AF12" s="277" t="str">
        <f>IF(AND('Mapa final'!$H$46="Muy Alta",'Mapa final'!$L$46="Mayor"),CONCATENATE("R",'Mapa final'!$A$46),"")</f>
        <v/>
      </c>
      <c r="AG12" s="278"/>
      <c r="AH12" s="267" t="str">
        <f>IF(AND('Mapa final'!$H$34="Muy Alta",'Mapa final'!$L$34="Catastrófico"),CONCATENATE("R",'Mapa final'!$A$34),"")</f>
        <v/>
      </c>
      <c r="AI12" s="268"/>
      <c r="AJ12" s="268" t="str">
        <f>IF(AND('Mapa final'!$H$40="Muy Alta",'Mapa final'!$L$40="Catastrófico"),CONCATENATE("R",'Mapa final'!$A$40),"")</f>
        <v/>
      </c>
      <c r="AK12" s="268"/>
      <c r="AL12" s="268" t="str">
        <f>IF(AND('Mapa final'!$H$46="Muy Alta",'Mapa final'!$L$46="Catastrófico"),CONCATENATE("R",'Mapa final'!$A$46),"")</f>
        <v/>
      </c>
      <c r="AM12" s="269"/>
      <c r="AN12" s="83"/>
      <c r="AO12" s="301"/>
      <c r="AP12" s="302"/>
      <c r="AQ12" s="302"/>
      <c r="AR12" s="302"/>
      <c r="AS12" s="302"/>
      <c r="AT12" s="30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96"/>
      <c r="C13" s="296"/>
      <c r="D13" s="297"/>
      <c r="E13" s="292"/>
      <c r="F13" s="293"/>
      <c r="G13" s="293"/>
      <c r="H13" s="293"/>
      <c r="I13" s="294"/>
      <c r="J13" s="276"/>
      <c r="K13" s="277"/>
      <c r="L13" s="277"/>
      <c r="M13" s="277"/>
      <c r="N13" s="277"/>
      <c r="O13" s="278"/>
      <c r="P13" s="276"/>
      <c r="Q13" s="277"/>
      <c r="R13" s="277"/>
      <c r="S13" s="277"/>
      <c r="T13" s="277"/>
      <c r="U13" s="278"/>
      <c r="V13" s="276"/>
      <c r="W13" s="277"/>
      <c r="X13" s="277"/>
      <c r="Y13" s="277"/>
      <c r="Z13" s="277"/>
      <c r="AA13" s="278"/>
      <c r="AB13" s="276"/>
      <c r="AC13" s="277"/>
      <c r="AD13" s="277"/>
      <c r="AE13" s="277"/>
      <c r="AF13" s="277"/>
      <c r="AG13" s="278"/>
      <c r="AH13" s="270"/>
      <c r="AI13" s="271"/>
      <c r="AJ13" s="271"/>
      <c r="AK13" s="271"/>
      <c r="AL13" s="271"/>
      <c r="AM13" s="272"/>
      <c r="AN13" s="83"/>
      <c r="AO13" s="304"/>
      <c r="AP13" s="305"/>
      <c r="AQ13" s="305"/>
      <c r="AR13" s="305"/>
      <c r="AS13" s="305"/>
      <c r="AT13" s="30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96"/>
      <c r="C14" s="296"/>
      <c r="D14" s="297"/>
      <c r="E14" s="286" t="s">
        <v>115</v>
      </c>
      <c r="F14" s="287"/>
      <c r="G14" s="287"/>
      <c r="H14" s="287"/>
      <c r="I14" s="287"/>
      <c r="J14" s="264" t="str">
        <f>IF(AND('Mapa final'!$H$10="Alta",'Mapa final'!$L$10="Leve"),CONCATENATE("R",'Mapa final'!$A$10),"")</f>
        <v/>
      </c>
      <c r="K14" s="265"/>
      <c r="L14" s="265" t="str">
        <f>IF(AND('Mapa final'!$H$11="Alta",'Mapa final'!$L$11="Leve"),CONCATENATE("R",'Mapa final'!$A$11),"")</f>
        <v/>
      </c>
      <c r="M14" s="265"/>
      <c r="N14" s="265" t="str">
        <f>IF(AND('Mapa final'!$H$12="Alta",'Mapa final'!$L$12="Leve"),CONCATENATE("R",'Mapa final'!$A$12),"")</f>
        <v/>
      </c>
      <c r="O14" s="266"/>
      <c r="P14" s="264" t="str">
        <f>IF(AND('Mapa final'!$H$10="Alta",'Mapa final'!$L$10="Menor"),CONCATENATE("R",'Mapa final'!$A$10),"")</f>
        <v/>
      </c>
      <c r="Q14" s="265"/>
      <c r="R14" s="265" t="str">
        <f>IF(AND('Mapa final'!$H$11="Alta",'Mapa final'!$L$11="Menor"),CONCATENATE("R",'Mapa final'!$A$11),"")</f>
        <v/>
      </c>
      <c r="S14" s="265"/>
      <c r="T14" s="265" t="str">
        <f>IF(AND('Mapa final'!$H$12="Alta",'Mapa final'!$L$12="Menor"),CONCATENATE("R",'Mapa final'!$A$12),"")</f>
        <v/>
      </c>
      <c r="U14" s="266"/>
      <c r="V14" s="282" t="str">
        <f>IF(AND('Mapa final'!$H$10="Alta",'Mapa final'!$L$10="Moderado"),CONCATENATE("R",'Mapa final'!$A$10),"")</f>
        <v/>
      </c>
      <c r="W14" s="283"/>
      <c r="X14" s="283" t="str">
        <f>IF(AND('Mapa final'!$H$11="Alta",'Mapa final'!$L$11="Moderado"),CONCATENATE("R",'Mapa final'!$A$11),"")</f>
        <v>R2</v>
      </c>
      <c r="Y14" s="283"/>
      <c r="Z14" s="283" t="str">
        <f>IF(AND('Mapa final'!$H$12="Alta",'Mapa final'!$L$12="Moderado"),CONCATENATE("R",'Mapa final'!$A$12),"")</f>
        <v/>
      </c>
      <c r="AA14" s="284"/>
      <c r="AB14" s="282" t="str">
        <f>IF(AND('Mapa final'!$H$10="Alta",'Mapa final'!$L$10="Mayor"),CONCATENATE("R",'Mapa final'!$A$10),"")</f>
        <v/>
      </c>
      <c r="AC14" s="283"/>
      <c r="AD14" s="283" t="str">
        <f>IF(AND('Mapa final'!$H$11="Alta",'Mapa final'!$L$11="Mayor"),CONCATENATE("R",'Mapa final'!$A$11),"")</f>
        <v/>
      </c>
      <c r="AE14" s="283"/>
      <c r="AF14" s="283" t="str">
        <f>IF(AND('Mapa final'!$H$12="Alta",'Mapa final'!$L$12="Mayor"),CONCATENATE("R",'Mapa final'!$A$12),"")</f>
        <v/>
      </c>
      <c r="AG14" s="284"/>
      <c r="AH14" s="273" t="str">
        <f>IF(AND('Mapa final'!$H$10="Alta",'Mapa final'!$L$10="Catastrófico"),CONCATENATE("R",'Mapa final'!$A$10),"")</f>
        <v/>
      </c>
      <c r="AI14" s="274"/>
      <c r="AJ14" s="274" t="str">
        <f>IF(AND('Mapa final'!$H$11="Alta",'Mapa final'!$L$11="Catastrófico"),CONCATENATE("R",'Mapa final'!$A$11),"")</f>
        <v/>
      </c>
      <c r="AK14" s="274"/>
      <c r="AL14" s="274" t="str">
        <f>IF(AND('Mapa final'!$H$12="Alta",'Mapa final'!$L$12="Catastrófico"),CONCATENATE("R",'Mapa final'!$A$12),"")</f>
        <v/>
      </c>
      <c r="AM14" s="275"/>
      <c r="AN14" s="83"/>
      <c r="AO14" s="307" t="s">
        <v>80</v>
      </c>
      <c r="AP14" s="308"/>
      <c r="AQ14" s="308"/>
      <c r="AR14" s="308"/>
      <c r="AS14" s="308"/>
      <c r="AT14" s="30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96"/>
      <c r="C15" s="296"/>
      <c r="D15" s="297"/>
      <c r="E15" s="289"/>
      <c r="F15" s="290"/>
      <c r="G15" s="290"/>
      <c r="H15" s="290"/>
      <c r="I15" s="290"/>
      <c r="J15" s="258"/>
      <c r="K15" s="259"/>
      <c r="L15" s="259"/>
      <c r="M15" s="259"/>
      <c r="N15" s="259"/>
      <c r="O15" s="260"/>
      <c r="P15" s="258"/>
      <c r="Q15" s="259"/>
      <c r="R15" s="259"/>
      <c r="S15" s="259"/>
      <c r="T15" s="259"/>
      <c r="U15" s="260"/>
      <c r="V15" s="276"/>
      <c r="W15" s="277"/>
      <c r="X15" s="277"/>
      <c r="Y15" s="277"/>
      <c r="Z15" s="277"/>
      <c r="AA15" s="278"/>
      <c r="AB15" s="276"/>
      <c r="AC15" s="277"/>
      <c r="AD15" s="277"/>
      <c r="AE15" s="277"/>
      <c r="AF15" s="277"/>
      <c r="AG15" s="278"/>
      <c r="AH15" s="267"/>
      <c r="AI15" s="268"/>
      <c r="AJ15" s="268"/>
      <c r="AK15" s="268"/>
      <c r="AL15" s="268"/>
      <c r="AM15" s="269"/>
      <c r="AN15" s="83"/>
      <c r="AO15" s="310"/>
      <c r="AP15" s="311"/>
      <c r="AQ15" s="311"/>
      <c r="AR15" s="311"/>
      <c r="AS15" s="311"/>
      <c r="AT15" s="31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96"/>
      <c r="C16" s="296"/>
      <c r="D16" s="297"/>
      <c r="E16" s="289"/>
      <c r="F16" s="290"/>
      <c r="G16" s="290"/>
      <c r="H16" s="290"/>
      <c r="I16" s="290"/>
      <c r="J16" s="258" t="str">
        <f>IF(AND('Mapa final'!$H$13="Alta",'Mapa final'!$L$13="Leve"),CONCATENATE("R",'Mapa final'!$A$13),"")</f>
        <v/>
      </c>
      <c r="K16" s="259"/>
      <c r="L16" s="259" t="str">
        <f>IF(AND('Mapa final'!$H$14="Alta",'Mapa final'!$L$14="Leve"),CONCATENATE("R",'Mapa final'!$A$14),"")</f>
        <v/>
      </c>
      <c r="M16" s="259"/>
      <c r="N16" s="259" t="str">
        <f>IF(AND('Mapa final'!$H$15="Alta",'Mapa final'!$L$15="Leve"),CONCATENATE("R",'Mapa final'!$A$15),"")</f>
        <v/>
      </c>
      <c r="O16" s="260"/>
      <c r="P16" s="258" t="str">
        <f>IF(AND('Mapa final'!$H$13="Alta",'Mapa final'!$L$13="Menor"),CONCATENATE("R",'Mapa final'!$A$13),"")</f>
        <v/>
      </c>
      <c r="Q16" s="259"/>
      <c r="R16" s="259" t="str">
        <f>IF(AND('Mapa final'!$H$14="Alta",'Mapa final'!$L$14="Menor"),CONCATENATE("R",'Mapa final'!$A$14),"")</f>
        <v/>
      </c>
      <c r="S16" s="259"/>
      <c r="T16" s="259" t="str">
        <f>IF(AND('Mapa final'!$H$15="Alta",'Mapa final'!$L$15="Menor"),CONCATENATE("R",'Mapa final'!$A$15),"")</f>
        <v/>
      </c>
      <c r="U16" s="260"/>
      <c r="V16" s="276" t="str">
        <f>IF(AND('Mapa final'!$H$13="Alta",'Mapa final'!$L$13="Moderado"),CONCATENATE("R",'Mapa final'!$A$13),"")</f>
        <v/>
      </c>
      <c r="W16" s="277"/>
      <c r="X16" s="277" t="str">
        <f>IF(AND('Mapa final'!$H$14="Alta",'Mapa final'!$L$14="Moderado"),CONCATENATE("R",'Mapa final'!$A$14),"")</f>
        <v/>
      </c>
      <c r="Y16" s="277"/>
      <c r="Z16" s="277" t="str">
        <f>IF(AND('Mapa final'!$H$15="Alta",'Mapa final'!$L$15="Moderado"),CONCATENATE("R",'Mapa final'!$A$15),"")</f>
        <v/>
      </c>
      <c r="AA16" s="278"/>
      <c r="AB16" s="276" t="str">
        <f>IF(AND('Mapa final'!$H$13="Alta",'Mapa final'!$L$13="Mayor"),CONCATENATE("R",'Mapa final'!$A$13),"")</f>
        <v/>
      </c>
      <c r="AC16" s="277"/>
      <c r="AD16" s="277" t="str">
        <f>IF(AND('Mapa final'!$H$14="Alta",'Mapa final'!$L$14="Mayor"),CONCATENATE("R",'Mapa final'!$A$14),"")</f>
        <v/>
      </c>
      <c r="AE16" s="277"/>
      <c r="AF16" s="277" t="str">
        <f>IF(AND('Mapa final'!$H$15="Alta",'Mapa final'!$L$15="Mayor"),CONCATENATE("R",'Mapa final'!$A$15),"")</f>
        <v/>
      </c>
      <c r="AG16" s="278"/>
      <c r="AH16" s="267" t="str">
        <f>IF(AND('Mapa final'!$H$13="Alta",'Mapa final'!$L$13="Catastrófico"),CONCATENATE("R",'Mapa final'!$A$13),"")</f>
        <v/>
      </c>
      <c r="AI16" s="268"/>
      <c r="AJ16" s="268" t="str">
        <f>IF(AND('Mapa final'!$H$14="Alta",'Mapa final'!$L$14="Catastrófico"),CONCATENATE("R",'Mapa final'!$A$14),"")</f>
        <v/>
      </c>
      <c r="AK16" s="268"/>
      <c r="AL16" s="268" t="str">
        <f>IF(AND('Mapa final'!$H$15="Alta",'Mapa final'!$L$15="Catastrófico"),CONCATENATE("R",'Mapa final'!$A$15),"")</f>
        <v/>
      </c>
      <c r="AM16" s="269"/>
      <c r="AN16" s="83"/>
      <c r="AO16" s="310"/>
      <c r="AP16" s="311"/>
      <c r="AQ16" s="311"/>
      <c r="AR16" s="311"/>
      <c r="AS16" s="311"/>
      <c r="AT16" s="31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96"/>
      <c r="C17" s="296"/>
      <c r="D17" s="297"/>
      <c r="E17" s="289"/>
      <c r="F17" s="290"/>
      <c r="G17" s="290"/>
      <c r="H17" s="290"/>
      <c r="I17" s="290"/>
      <c r="J17" s="258"/>
      <c r="K17" s="259"/>
      <c r="L17" s="259"/>
      <c r="M17" s="259"/>
      <c r="N17" s="259"/>
      <c r="O17" s="260"/>
      <c r="P17" s="258"/>
      <c r="Q17" s="259"/>
      <c r="R17" s="259"/>
      <c r="S17" s="259"/>
      <c r="T17" s="259"/>
      <c r="U17" s="260"/>
      <c r="V17" s="276"/>
      <c r="W17" s="277"/>
      <c r="X17" s="277"/>
      <c r="Y17" s="277"/>
      <c r="Z17" s="277"/>
      <c r="AA17" s="278"/>
      <c r="AB17" s="276"/>
      <c r="AC17" s="277"/>
      <c r="AD17" s="277"/>
      <c r="AE17" s="277"/>
      <c r="AF17" s="277"/>
      <c r="AG17" s="278"/>
      <c r="AH17" s="267"/>
      <c r="AI17" s="268"/>
      <c r="AJ17" s="268"/>
      <c r="AK17" s="268"/>
      <c r="AL17" s="268"/>
      <c r="AM17" s="269"/>
      <c r="AN17" s="83"/>
      <c r="AO17" s="310"/>
      <c r="AP17" s="311"/>
      <c r="AQ17" s="311"/>
      <c r="AR17" s="311"/>
      <c r="AS17" s="311"/>
      <c r="AT17" s="31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96"/>
      <c r="C18" s="296"/>
      <c r="D18" s="297"/>
      <c r="E18" s="289"/>
      <c r="F18" s="290"/>
      <c r="G18" s="290"/>
      <c r="H18" s="290"/>
      <c r="I18" s="290"/>
      <c r="J18" s="258" t="str">
        <f>IF(AND('Mapa final'!$H$16="Alta",'Mapa final'!$L$16="Leve"),CONCATENATE("R",'Mapa final'!$A$16),"")</f>
        <v/>
      </c>
      <c r="K18" s="259"/>
      <c r="L18" s="259" t="str">
        <f>IF(AND('Mapa final'!$H$22="Alta",'Mapa final'!$L$22="Leve"),CONCATENATE("R",'Mapa final'!$A$22),"")</f>
        <v/>
      </c>
      <c r="M18" s="259"/>
      <c r="N18" s="259" t="str">
        <f>IF(AND('Mapa final'!$H$28="Alta",'Mapa final'!$L$28="Leve"),CONCATENATE("R",'Mapa final'!$A$28),"")</f>
        <v/>
      </c>
      <c r="O18" s="260"/>
      <c r="P18" s="258" t="str">
        <f>IF(AND('Mapa final'!$H$16="Alta",'Mapa final'!$L$16="Menor"),CONCATENATE("R",'Mapa final'!$A$16),"")</f>
        <v/>
      </c>
      <c r="Q18" s="259"/>
      <c r="R18" s="259" t="str">
        <f>IF(AND('Mapa final'!$H$22="Alta",'Mapa final'!$L$22="Menor"),CONCATENATE("R",'Mapa final'!$A$22),"")</f>
        <v/>
      </c>
      <c r="S18" s="259"/>
      <c r="T18" s="259" t="str">
        <f>IF(AND('Mapa final'!$H$28="Alta",'Mapa final'!$L$28="Menor"),CONCATENATE("R",'Mapa final'!$A$28),"")</f>
        <v/>
      </c>
      <c r="U18" s="260"/>
      <c r="V18" s="276" t="str">
        <f>IF(AND('Mapa final'!$H$16="Alta",'Mapa final'!$L$16="Moderado"),CONCATENATE("R",'Mapa final'!$A$16),"")</f>
        <v/>
      </c>
      <c r="W18" s="277"/>
      <c r="X18" s="277" t="str">
        <f>IF(AND('Mapa final'!$H$22="Alta",'Mapa final'!$L$22="Moderado"),CONCATENATE("R",'Mapa final'!$A$22),"")</f>
        <v/>
      </c>
      <c r="Y18" s="277"/>
      <c r="Z18" s="277" t="str">
        <f>IF(AND('Mapa final'!$H$28="Alta",'Mapa final'!$L$28="Moderado"),CONCATENATE("R",'Mapa final'!$A$28),"")</f>
        <v/>
      </c>
      <c r="AA18" s="278"/>
      <c r="AB18" s="276" t="str">
        <f>IF(AND('Mapa final'!$H$16="Alta",'Mapa final'!$L$16="Mayor"),CONCATENATE("R",'Mapa final'!$A$16),"")</f>
        <v/>
      </c>
      <c r="AC18" s="277"/>
      <c r="AD18" s="277" t="str">
        <f>IF(AND('Mapa final'!$H$22="Alta",'Mapa final'!$L$22="Mayor"),CONCATENATE("R",'Mapa final'!$A$22),"")</f>
        <v/>
      </c>
      <c r="AE18" s="277"/>
      <c r="AF18" s="277" t="str">
        <f>IF(AND('Mapa final'!$H$28="Alta",'Mapa final'!$L$28="Mayor"),CONCATENATE("R",'Mapa final'!$A$28),"")</f>
        <v/>
      </c>
      <c r="AG18" s="278"/>
      <c r="AH18" s="267" t="str">
        <f>IF(AND('Mapa final'!$H$16="Alta",'Mapa final'!$L$16="Catastrófico"),CONCATENATE("R",'Mapa final'!$A$16),"")</f>
        <v/>
      </c>
      <c r="AI18" s="268"/>
      <c r="AJ18" s="268" t="str">
        <f>IF(AND('Mapa final'!$H$22="Alta",'Mapa final'!$L$22="Catastrófico"),CONCATENATE("R",'Mapa final'!$A$22),"")</f>
        <v/>
      </c>
      <c r="AK18" s="268"/>
      <c r="AL18" s="268" t="str">
        <f>IF(AND('Mapa final'!$H$28="Alta",'Mapa final'!$L$28="Catastrófico"),CONCATENATE("R",'Mapa final'!$A$28),"")</f>
        <v/>
      </c>
      <c r="AM18" s="269"/>
      <c r="AN18" s="83"/>
      <c r="AO18" s="310"/>
      <c r="AP18" s="311"/>
      <c r="AQ18" s="311"/>
      <c r="AR18" s="311"/>
      <c r="AS18" s="311"/>
      <c r="AT18" s="31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96"/>
      <c r="C19" s="296"/>
      <c r="D19" s="297"/>
      <c r="E19" s="289"/>
      <c r="F19" s="290"/>
      <c r="G19" s="290"/>
      <c r="H19" s="290"/>
      <c r="I19" s="290"/>
      <c r="J19" s="258"/>
      <c r="K19" s="259"/>
      <c r="L19" s="259"/>
      <c r="M19" s="259"/>
      <c r="N19" s="259"/>
      <c r="O19" s="260"/>
      <c r="P19" s="258"/>
      <c r="Q19" s="259"/>
      <c r="R19" s="259"/>
      <c r="S19" s="259"/>
      <c r="T19" s="259"/>
      <c r="U19" s="260"/>
      <c r="V19" s="276"/>
      <c r="W19" s="277"/>
      <c r="X19" s="277"/>
      <c r="Y19" s="277"/>
      <c r="Z19" s="277"/>
      <c r="AA19" s="278"/>
      <c r="AB19" s="276"/>
      <c r="AC19" s="277"/>
      <c r="AD19" s="277"/>
      <c r="AE19" s="277"/>
      <c r="AF19" s="277"/>
      <c r="AG19" s="278"/>
      <c r="AH19" s="267"/>
      <c r="AI19" s="268"/>
      <c r="AJ19" s="268"/>
      <c r="AK19" s="268"/>
      <c r="AL19" s="268"/>
      <c r="AM19" s="269"/>
      <c r="AN19" s="83"/>
      <c r="AO19" s="310"/>
      <c r="AP19" s="311"/>
      <c r="AQ19" s="311"/>
      <c r="AR19" s="311"/>
      <c r="AS19" s="311"/>
      <c r="AT19" s="31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96"/>
      <c r="C20" s="296"/>
      <c r="D20" s="297"/>
      <c r="E20" s="289"/>
      <c r="F20" s="290"/>
      <c r="G20" s="290"/>
      <c r="H20" s="290"/>
      <c r="I20" s="290"/>
      <c r="J20" s="258" t="str">
        <f>IF(AND('Mapa final'!$H$34="Alta",'Mapa final'!$L$34="Leve"),CONCATENATE("R",'Mapa final'!$A$34),"")</f>
        <v/>
      </c>
      <c r="K20" s="259"/>
      <c r="L20" s="259" t="str">
        <f>IF(AND('Mapa final'!$H$40="Alta",'Mapa final'!$L$40="Leve"),CONCATENATE("R",'Mapa final'!$A$40),"")</f>
        <v/>
      </c>
      <c r="M20" s="259"/>
      <c r="N20" s="259" t="str">
        <f>IF(AND('Mapa final'!$H$46="Alta",'Mapa final'!$L$46="Leve"),CONCATENATE("R",'Mapa final'!$A$46),"")</f>
        <v/>
      </c>
      <c r="O20" s="260"/>
      <c r="P20" s="258" t="str">
        <f>IF(AND('Mapa final'!$H$34="Alta",'Mapa final'!$L$34="Menor"),CONCATENATE("R",'Mapa final'!$A$34),"")</f>
        <v/>
      </c>
      <c r="Q20" s="259"/>
      <c r="R20" s="259" t="str">
        <f>IF(AND('Mapa final'!$H$40="Alta",'Mapa final'!$L$40="Menor"),CONCATENATE("R",'Mapa final'!$A$40),"")</f>
        <v/>
      </c>
      <c r="S20" s="259"/>
      <c r="T20" s="259" t="str">
        <f>IF(AND('Mapa final'!$H$46="Alta",'Mapa final'!$L$46="Menor"),CONCATENATE("R",'Mapa final'!$A$46),"")</f>
        <v/>
      </c>
      <c r="U20" s="260"/>
      <c r="V20" s="276" t="str">
        <f>IF(AND('Mapa final'!$H$34="Alta",'Mapa final'!$L$34="Moderado"),CONCATENATE("R",'Mapa final'!$A$34),"")</f>
        <v/>
      </c>
      <c r="W20" s="277"/>
      <c r="X20" s="277" t="str">
        <f>IF(AND('Mapa final'!$H$40="Alta",'Mapa final'!$L$40="Moderado"),CONCATENATE("R",'Mapa final'!$A$40),"")</f>
        <v/>
      </c>
      <c r="Y20" s="277"/>
      <c r="Z20" s="277" t="str">
        <f>IF(AND('Mapa final'!$H$46="Alta",'Mapa final'!$L$46="Moderado"),CONCATENATE("R",'Mapa final'!$A$46),"")</f>
        <v/>
      </c>
      <c r="AA20" s="278"/>
      <c r="AB20" s="276" t="str">
        <f>IF(AND('Mapa final'!$H$34="Alta",'Mapa final'!$L$34="Mayor"),CONCATENATE("R",'Mapa final'!$A$34),"")</f>
        <v/>
      </c>
      <c r="AC20" s="277"/>
      <c r="AD20" s="277" t="str">
        <f>IF(AND('Mapa final'!$H$40="Alta",'Mapa final'!$L$40="Mayor"),CONCATENATE("R",'Mapa final'!$A$40),"")</f>
        <v/>
      </c>
      <c r="AE20" s="277"/>
      <c r="AF20" s="277" t="str">
        <f>IF(AND('Mapa final'!$H$46="Alta",'Mapa final'!$L$46="Mayor"),CONCATENATE("R",'Mapa final'!$A$46),"")</f>
        <v/>
      </c>
      <c r="AG20" s="278"/>
      <c r="AH20" s="267" t="str">
        <f>IF(AND('Mapa final'!$H$34="Alta",'Mapa final'!$L$34="Catastrófico"),CONCATENATE("R",'Mapa final'!$A$34),"")</f>
        <v/>
      </c>
      <c r="AI20" s="268"/>
      <c r="AJ20" s="268" t="str">
        <f>IF(AND('Mapa final'!$H$40="Alta",'Mapa final'!$L$40="Catastrófico"),CONCATENATE("R",'Mapa final'!$A$40),"")</f>
        <v/>
      </c>
      <c r="AK20" s="268"/>
      <c r="AL20" s="268" t="str">
        <f>IF(AND('Mapa final'!$H$46="Alta",'Mapa final'!$L$46="Catastrófico"),CONCATENATE("R",'Mapa final'!$A$46),"")</f>
        <v/>
      </c>
      <c r="AM20" s="269"/>
      <c r="AN20" s="83"/>
      <c r="AO20" s="310"/>
      <c r="AP20" s="311"/>
      <c r="AQ20" s="311"/>
      <c r="AR20" s="311"/>
      <c r="AS20" s="311"/>
      <c r="AT20" s="31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96"/>
      <c r="C21" s="296"/>
      <c r="D21" s="297"/>
      <c r="E21" s="292"/>
      <c r="F21" s="293"/>
      <c r="G21" s="293"/>
      <c r="H21" s="293"/>
      <c r="I21" s="293"/>
      <c r="J21" s="261"/>
      <c r="K21" s="262"/>
      <c r="L21" s="262"/>
      <c r="M21" s="262"/>
      <c r="N21" s="262"/>
      <c r="O21" s="263"/>
      <c r="P21" s="261"/>
      <c r="Q21" s="262"/>
      <c r="R21" s="262"/>
      <c r="S21" s="262"/>
      <c r="T21" s="262"/>
      <c r="U21" s="263"/>
      <c r="V21" s="279"/>
      <c r="W21" s="280"/>
      <c r="X21" s="280"/>
      <c r="Y21" s="280"/>
      <c r="Z21" s="280"/>
      <c r="AA21" s="281"/>
      <c r="AB21" s="279"/>
      <c r="AC21" s="280"/>
      <c r="AD21" s="280"/>
      <c r="AE21" s="280"/>
      <c r="AF21" s="280"/>
      <c r="AG21" s="281"/>
      <c r="AH21" s="270"/>
      <c r="AI21" s="271"/>
      <c r="AJ21" s="271"/>
      <c r="AK21" s="271"/>
      <c r="AL21" s="271"/>
      <c r="AM21" s="272"/>
      <c r="AN21" s="83"/>
      <c r="AO21" s="313"/>
      <c r="AP21" s="314"/>
      <c r="AQ21" s="314"/>
      <c r="AR21" s="314"/>
      <c r="AS21" s="314"/>
      <c r="AT21" s="31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96"/>
      <c r="C22" s="296"/>
      <c r="D22" s="297"/>
      <c r="E22" s="286" t="s">
        <v>117</v>
      </c>
      <c r="F22" s="287"/>
      <c r="G22" s="287"/>
      <c r="H22" s="287"/>
      <c r="I22" s="288"/>
      <c r="J22" s="264" t="str">
        <f>IF(AND('Mapa final'!$H$10="Media",'Mapa final'!$L$10="Leve"),CONCATENATE("R",'Mapa final'!$A$10),"")</f>
        <v/>
      </c>
      <c r="K22" s="265"/>
      <c r="L22" s="265" t="str">
        <f>IF(AND('Mapa final'!$H$11="Media",'Mapa final'!$L$11="Leve"),CONCATENATE("R",'Mapa final'!$A$11),"")</f>
        <v/>
      </c>
      <c r="M22" s="265"/>
      <c r="N22" s="265" t="str">
        <f>IF(AND('Mapa final'!$H$12="Media",'Mapa final'!$L$12="Leve"),CONCATENATE("R",'Mapa final'!$A$12),"")</f>
        <v/>
      </c>
      <c r="O22" s="266"/>
      <c r="P22" s="264" t="str">
        <f>IF(AND('Mapa final'!$H$10="Media",'Mapa final'!$L$10="Menor"),CONCATENATE("R",'Mapa final'!$A$10),"")</f>
        <v/>
      </c>
      <c r="Q22" s="265"/>
      <c r="R22" s="265" t="str">
        <f>IF(AND('Mapa final'!$H$11="Media",'Mapa final'!$L$11="Menor"),CONCATENATE("R",'Mapa final'!$A$11),"")</f>
        <v/>
      </c>
      <c r="S22" s="265"/>
      <c r="T22" s="265" t="str">
        <f>IF(AND('Mapa final'!$H$12="Media",'Mapa final'!$L$12="Menor"),CONCATENATE("R",'Mapa final'!$A$12),"")</f>
        <v/>
      </c>
      <c r="U22" s="266"/>
      <c r="V22" s="264" t="str">
        <f>IF(AND('Mapa final'!$H$10="Media",'Mapa final'!$L$10="Moderado"),CONCATENATE("R",'Mapa final'!$A$10),"")</f>
        <v>R1</v>
      </c>
      <c r="W22" s="265"/>
      <c r="X22" s="265" t="str">
        <f>IF(AND('Mapa final'!$H$11="Media",'Mapa final'!$L$11="Moderado"),CONCATENATE("R",'Mapa final'!$A$11),"")</f>
        <v/>
      </c>
      <c r="Y22" s="265"/>
      <c r="Z22" s="265" t="str">
        <f>IF(AND('Mapa final'!$H$12="Media",'Mapa final'!$L$12="Moderado"),CONCATENATE("R",'Mapa final'!$A$12),"")</f>
        <v>R3</v>
      </c>
      <c r="AA22" s="266"/>
      <c r="AB22" s="282" t="str">
        <f>IF(AND('Mapa final'!$H$10="Media",'Mapa final'!$L$10="Mayor"),CONCATENATE("R",'Mapa final'!$A$10),"")</f>
        <v/>
      </c>
      <c r="AC22" s="283"/>
      <c r="AD22" s="283" t="str">
        <f>IF(AND('Mapa final'!$H$11="Media",'Mapa final'!$L$11="Mayor"),CONCATENATE("R",'Mapa final'!$A$11),"")</f>
        <v/>
      </c>
      <c r="AE22" s="283"/>
      <c r="AF22" s="283" t="str">
        <f>IF(AND('Mapa final'!$H$12="Media",'Mapa final'!$L$12="Mayor"),CONCATENATE("R",'Mapa final'!$A$12),"")</f>
        <v/>
      </c>
      <c r="AG22" s="284"/>
      <c r="AH22" s="273" t="str">
        <f>IF(AND('Mapa final'!$H$10="Media",'Mapa final'!$L$10="Catastrófico"),CONCATENATE("R",'Mapa final'!$A$10),"")</f>
        <v/>
      </c>
      <c r="AI22" s="274"/>
      <c r="AJ22" s="274" t="str">
        <f>IF(AND('Mapa final'!$H$11="Media",'Mapa final'!$L$11="Catastrófico"),CONCATENATE("R",'Mapa final'!$A$11),"")</f>
        <v/>
      </c>
      <c r="AK22" s="274"/>
      <c r="AL22" s="274" t="str">
        <f>IF(AND('Mapa final'!$H$12="Media",'Mapa final'!$L$12="Catastrófico"),CONCATENATE("R",'Mapa final'!$A$12),"")</f>
        <v/>
      </c>
      <c r="AM22" s="275"/>
      <c r="AN22" s="83"/>
      <c r="AO22" s="316" t="s">
        <v>81</v>
      </c>
      <c r="AP22" s="317"/>
      <c r="AQ22" s="317"/>
      <c r="AR22" s="317"/>
      <c r="AS22" s="317"/>
      <c r="AT22" s="31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96"/>
      <c r="C23" s="296"/>
      <c r="D23" s="297"/>
      <c r="E23" s="289"/>
      <c r="F23" s="290"/>
      <c r="G23" s="290"/>
      <c r="H23" s="290"/>
      <c r="I23" s="291"/>
      <c r="J23" s="258"/>
      <c r="K23" s="259"/>
      <c r="L23" s="259"/>
      <c r="M23" s="259"/>
      <c r="N23" s="259"/>
      <c r="O23" s="260"/>
      <c r="P23" s="258"/>
      <c r="Q23" s="259"/>
      <c r="R23" s="259"/>
      <c r="S23" s="259"/>
      <c r="T23" s="259"/>
      <c r="U23" s="260"/>
      <c r="V23" s="258"/>
      <c r="W23" s="259"/>
      <c r="X23" s="259"/>
      <c r="Y23" s="259"/>
      <c r="Z23" s="259"/>
      <c r="AA23" s="260"/>
      <c r="AB23" s="276"/>
      <c r="AC23" s="277"/>
      <c r="AD23" s="277"/>
      <c r="AE23" s="277"/>
      <c r="AF23" s="277"/>
      <c r="AG23" s="278"/>
      <c r="AH23" s="267"/>
      <c r="AI23" s="268"/>
      <c r="AJ23" s="268"/>
      <c r="AK23" s="268"/>
      <c r="AL23" s="268"/>
      <c r="AM23" s="269"/>
      <c r="AN23" s="83"/>
      <c r="AO23" s="319"/>
      <c r="AP23" s="320"/>
      <c r="AQ23" s="320"/>
      <c r="AR23" s="320"/>
      <c r="AS23" s="320"/>
      <c r="AT23" s="32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96"/>
      <c r="C24" s="296"/>
      <c r="D24" s="297"/>
      <c r="E24" s="289"/>
      <c r="F24" s="290"/>
      <c r="G24" s="290"/>
      <c r="H24" s="290"/>
      <c r="I24" s="291"/>
      <c r="J24" s="258" t="str">
        <f>IF(AND('Mapa final'!$H$13="Media",'Mapa final'!$L$13="Leve"),CONCATENATE("R",'Mapa final'!$A$13),"")</f>
        <v/>
      </c>
      <c r="K24" s="259"/>
      <c r="L24" s="259" t="str">
        <f>IF(AND('Mapa final'!$H$14="Media",'Mapa final'!$L$14="Leve"),CONCATENATE("R",'Mapa final'!$A$14),"")</f>
        <v/>
      </c>
      <c r="M24" s="259"/>
      <c r="N24" s="259" t="str">
        <f>IF(AND('Mapa final'!$H$15="Media",'Mapa final'!$L$15="Leve"),CONCATENATE("R",'Mapa final'!$A$15),"")</f>
        <v/>
      </c>
      <c r="O24" s="260"/>
      <c r="P24" s="258" t="str">
        <f>IF(AND('Mapa final'!$H$13="Media",'Mapa final'!$L$13="Menor"),CONCATENATE("R",'Mapa final'!$A$13),"")</f>
        <v/>
      </c>
      <c r="Q24" s="259"/>
      <c r="R24" s="259" t="str">
        <f>IF(AND('Mapa final'!$H$14="Media",'Mapa final'!$L$14="Menor"),CONCATENATE("R",'Mapa final'!$A$14),"")</f>
        <v/>
      </c>
      <c r="S24" s="259"/>
      <c r="T24" s="259" t="str">
        <f>IF(AND('Mapa final'!$H$15="Media",'Mapa final'!$L$15="Menor"),CONCATENATE("R",'Mapa final'!$A$15),"")</f>
        <v/>
      </c>
      <c r="U24" s="260"/>
      <c r="V24" s="258" t="str">
        <f>IF(AND('Mapa final'!$H$13="Media",'Mapa final'!$L$13="Moderado"),CONCATENATE("R",'Mapa final'!$A$13),"")</f>
        <v>R4</v>
      </c>
      <c r="W24" s="259"/>
      <c r="X24" s="259" t="str">
        <f>IF(AND('Mapa final'!$H$14="Media",'Mapa final'!$L$14="Moderado"),CONCATENATE("R",'Mapa final'!$A$14),"")</f>
        <v/>
      </c>
      <c r="Y24" s="259"/>
      <c r="Z24" s="259" t="str">
        <f>IF(AND('Mapa final'!$H$15="Media",'Mapa final'!$L$15="Moderado"),CONCATENATE("R",'Mapa final'!$A$15),"")</f>
        <v/>
      </c>
      <c r="AA24" s="260"/>
      <c r="AB24" s="276" t="str">
        <f>IF(AND('Mapa final'!$H$13="Media",'Mapa final'!$L$13="Mayor"),CONCATENATE("R",'Mapa final'!$A$13),"")</f>
        <v/>
      </c>
      <c r="AC24" s="277"/>
      <c r="AD24" s="277" t="str">
        <f>IF(AND('Mapa final'!$H$14="Media",'Mapa final'!$L$14="Mayor"),CONCATENATE("R",'Mapa final'!$A$14),"")</f>
        <v/>
      </c>
      <c r="AE24" s="277"/>
      <c r="AF24" s="277" t="str">
        <f>IF(AND('Mapa final'!$H$15="Media",'Mapa final'!$L$15="Mayor"),CONCATENATE("R",'Mapa final'!$A$15),"")</f>
        <v/>
      </c>
      <c r="AG24" s="278"/>
      <c r="AH24" s="267" t="str">
        <f>IF(AND('Mapa final'!$H$13="Media",'Mapa final'!$L$13="Catastrófico"),CONCATENATE("R",'Mapa final'!$A$13),"")</f>
        <v/>
      </c>
      <c r="AI24" s="268"/>
      <c r="AJ24" s="268" t="str">
        <f>IF(AND('Mapa final'!$H$14="Media",'Mapa final'!$L$14="Catastrófico"),CONCATENATE("R",'Mapa final'!$A$14),"")</f>
        <v/>
      </c>
      <c r="AK24" s="268"/>
      <c r="AL24" s="268" t="str">
        <f>IF(AND('Mapa final'!$H$15="Media",'Mapa final'!$L$15="Catastrófico"),CONCATENATE("R",'Mapa final'!$A$15),"")</f>
        <v/>
      </c>
      <c r="AM24" s="269"/>
      <c r="AN24" s="83"/>
      <c r="AO24" s="319"/>
      <c r="AP24" s="320"/>
      <c r="AQ24" s="320"/>
      <c r="AR24" s="320"/>
      <c r="AS24" s="320"/>
      <c r="AT24" s="32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96"/>
      <c r="C25" s="296"/>
      <c r="D25" s="297"/>
      <c r="E25" s="289"/>
      <c r="F25" s="290"/>
      <c r="G25" s="290"/>
      <c r="H25" s="290"/>
      <c r="I25" s="291"/>
      <c r="J25" s="258"/>
      <c r="K25" s="259"/>
      <c r="L25" s="259"/>
      <c r="M25" s="259"/>
      <c r="N25" s="259"/>
      <c r="O25" s="260"/>
      <c r="P25" s="258"/>
      <c r="Q25" s="259"/>
      <c r="R25" s="259"/>
      <c r="S25" s="259"/>
      <c r="T25" s="259"/>
      <c r="U25" s="260"/>
      <c r="V25" s="258"/>
      <c r="W25" s="259"/>
      <c r="X25" s="259"/>
      <c r="Y25" s="259"/>
      <c r="Z25" s="259"/>
      <c r="AA25" s="260"/>
      <c r="AB25" s="276"/>
      <c r="AC25" s="277"/>
      <c r="AD25" s="277"/>
      <c r="AE25" s="277"/>
      <c r="AF25" s="277"/>
      <c r="AG25" s="278"/>
      <c r="AH25" s="267"/>
      <c r="AI25" s="268"/>
      <c r="AJ25" s="268"/>
      <c r="AK25" s="268"/>
      <c r="AL25" s="268"/>
      <c r="AM25" s="269"/>
      <c r="AN25" s="83"/>
      <c r="AO25" s="319"/>
      <c r="AP25" s="320"/>
      <c r="AQ25" s="320"/>
      <c r="AR25" s="320"/>
      <c r="AS25" s="320"/>
      <c r="AT25" s="32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96"/>
      <c r="C26" s="296"/>
      <c r="D26" s="297"/>
      <c r="E26" s="289"/>
      <c r="F26" s="290"/>
      <c r="G26" s="290"/>
      <c r="H26" s="290"/>
      <c r="I26" s="291"/>
      <c r="J26" s="258" t="str">
        <f>IF(AND('Mapa final'!$H$16="Media",'Mapa final'!$L$16="Leve"),CONCATENATE("R",'Mapa final'!$A$16),"")</f>
        <v/>
      </c>
      <c r="K26" s="259"/>
      <c r="L26" s="259" t="str">
        <f>IF(AND('Mapa final'!$H$22="Media",'Mapa final'!$L$22="Leve"),CONCATENATE("R",'Mapa final'!$A$22),"")</f>
        <v/>
      </c>
      <c r="M26" s="259"/>
      <c r="N26" s="259" t="str">
        <f>IF(AND('Mapa final'!$H$28="Media",'Mapa final'!$L$28="Leve"),CONCATENATE("R",'Mapa final'!$A$28),"")</f>
        <v/>
      </c>
      <c r="O26" s="260"/>
      <c r="P26" s="258" t="str">
        <f>IF(AND('Mapa final'!$H$16="Media",'Mapa final'!$L$16="Menor"),CONCATENATE("R",'Mapa final'!$A$16),"")</f>
        <v/>
      </c>
      <c r="Q26" s="259"/>
      <c r="R26" s="259" t="str">
        <f>IF(AND('Mapa final'!$H$22="Media",'Mapa final'!$L$22="Menor"),CONCATENATE("R",'Mapa final'!$A$22),"")</f>
        <v/>
      </c>
      <c r="S26" s="259"/>
      <c r="T26" s="259" t="str">
        <f>IF(AND('Mapa final'!$H$28="Media",'Mapa final'!$L$28="Menor"),CONCATENATE("R",'Mapa final'!$A$28),"")</f>
        <v/>
      </c>
      <c r="U26" s="260"/>
      <c r="V26" s="258" t="str">
        <f>IF(AND('Mapa final'!$H$16="Media",'Mapa final'!$L$16="Moderado"),CONCATENATE("R",'Mapa final'!$A$16),"")</f>
        <v/>
      </c>
      <c r="W26" s="259"/>
      <c r="X26" s="259" t="str">
        <f>IF(AND('Mapa final'!$H$22="Media",'Mapa final'!$L$22="Moderado"),CONCATENATE("R",'Mapa final'!$A$22),"")</f>
        <v/>
      </c>
      <c r="Y26" s="259"/>
      <c r="Z26" s="259" t="str">
        <f>IF(AND('Mapa final'!$H$28="Media",'Mapa final'!$L$28="Moderado"),CONCATENATE("R",'Mapa final'!$A$28),"")</f>
        <v/>
      </c>
      <c r="AA26" s="260"/>
      <c r="AB26" s="276" t="str">
        <f>IF(AND('Mapa final'!$H$16="Media",'Mapa final'!$L$16="Mayor"),CONCATENATE("R",'Mapa final'!$A$16),"")</f>
        <v/>
      </c>
      <c r="AC26" s="277"/>
      <c r="AD26" s="277" t="str">
        <f>IF(AND('Mapa final'!$H$22="Media",'Mapa final'!$L$22="Mayor"),CONCATENATE("R",'Mapa final'!$A$22),"")</f>
        <v/>
      </c>
      <c r="AE26" s="277"/>
      <c r="AF26" s="277" t="str">
        <f>IF(AND('Mapa final'!$H$28="Media",'Mapa final'!$L$28="Mayor"),CONCATENATE("R",'Mapa final'!$A$28),"")</f>
        <v/>
      </c>
      <c r="AG26" s="278"/>
      <c r="AH26" s="267" t="str">
        <f>IF(AND('Mapa final'!$H$16="Media",'Mapa final'!$L$16="Catastrófico"),CONCATENATE("R",'Mapa final'!$A$16),"")</f>
        <v/>
      </c>
      <c r="AI26" s="268"/>
      <c r="AJ26" s="268" t="str">
        <f>IF(AND('Mapa final'!$H$22="Media",'Mapa final'!$L$22="Catastrófico"),CONCATENATE("R",'Mapa final'!$A$22),"")</f>
        <v/>
      </c>
      <c r="AK26" s="268"/>
      <c r="AL26" s="268" t="str">
        <f>IF(AND('Mapa final'!$H$28="Media",'Mapa final'!$L$28="Catastrófico"),CONCATENATE("R",'Mapa final'!$A$28),"")</f>
        <v/>
      </c>
      <c r="AM26" s="269"/>
      <c r="AN26" s="83"/>
      <c r="AO26" s="319"/>
      <c r="AP26" s="320"/>
      <c r="AQ26" s="320"/>
      <c r="AR26" s="320"/>
      <c r="AS26" s="320"/>
      <c r="AT26" s="32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96"/>
      <c r="C27" s="296"/>
      <c r="D27" s="297"/>
      <c r="E27" s="289"/>
      <c r="F27" s="290"/>
      <c r="G27" s="290"/>
      <c r="H27" s="290"/>
      <c r="I27" s="291"/>
      <c r="J27" s="258"/>
      <c r="K27" s="259"/>
      <c r="L27" s="259"/>
      <c r="M27" s="259"/>
      <c r="N27" s="259"/>
      <c r="O27" s="260"/>
      <c r="P27" s="258"/>
      <c r="Q27" s="259"/>
      <c r="R27" s="259"/>
      <c r="S27" s="259"/>
      <c r="T27" s="259"/>
      <c r="U27" s="260"/>
      <c r="V27" s="258"/>
      <c r="W27" s="259"/>
      <c r="X27" s="259"/>
      <c r="Y27" s="259"/>
      <c r="Z27" s="259"/>
      <c r="AA27" s="260"/>
      <c r="AB27" s="276"/>
      <c r="AC27" s="277"/>
      <c r="AD27" s="277"/>
      <c r="AE27" s="277"/>
      <c r="AF27" s="277"/>
      <c r="AG27" s="278"/>
      <c r="AH27" s="267"/>
      <c r="AI27" s="268"/>
      <c r="AJ27" s="268"/>
      <c r="AK27" s="268"/>
      <c r="AL27" s="268"/>
      <c r="AM27" s="269"/>
      <c r="AN27" s="83"/>
      <c r="AO27" s="319"/>
      <c r="AP27" s="320"/>
      <c r="AQ27" s="320"/>
      <c r="AR27" s="320"/>
      <c r="AS27" s="320"/>
      <c r="AT27" s="32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96"/>
      <c r="C28" s="296"/>
      <c r="D28" s="297"/>
      <c r="E28" s="289"/>
      <c r="F28" s="290"/>
      <c r="G28" s="290"/>
      <c r="H28" s="290"/>
      <c r="I28" s="291"/>
      <c r="J28" s="258" t="str">
        <f>IF(AND('Mapa final'!$H$34="Media",'Mapa final'!$L$34="Leve"),CONCATENATE("R",'Mapa final'!$A$34),"")</f>
        <v/>
      </c>
      <c r="K28" s="259"/>
      <c r="L28" s="259" t="str">
        <f>IF(AND('Mapa final'!$H$40="Media",'Mapa final'!$L$40="Leve"),CONCATENATE("R",'Mapa final'!$A$40),"")</f>
        <v/>
      </c>
      <c r="M28" s="259"/>
      <c r="N28" s="259" t="str">
        <f>IF(AND('Mapa final'!$H$46="Media",'Mapa final'!$L$46="Leve"),CONCATENATE("R",'Mapa final'!$A$46),"")</f>
        <v/>
      </c>
      <c r="O28" s="260"/>
      <c r="P28" s="258" t="str">
        <f>IF(AND('Mapa final'!$H$34="Media",'Mapa final'!$L$34="Menor"),CONCATENATE("R",'Mapa final'!$A$34),"")</f>
        <v/>
      </c>
      <c r="Q28" s="259"/>
      <c r="R28" s="259" t="str">
        <f>IF(AND('Mapa final'!$H$40="Media",'Mapa final'!$L$40="Menor"),CONCATENATE("R",'Mapa final'!$A$40),"")</f>
        <v/>
      </c>
      <c r="S28" s="259"/>
      <c r="T28" s="259" t="str">
        <f>IF(AND('Mapa final'!$H$46="Media",'Mapa final'!$L$46="Menor"),CONCATENATE("R",'Mapa final'!$A$46),"")</f>
        <v/>
      </c>
      <c r="U28" s="260"/>
      <c r="V28" s="258" t="str">
        <f>IF(AND('Mapa final'!$H$34="Media",'Mapa final'!$L$34="Moderado"),CONCATENATE("R",'Mapa final'!$A$34),"")</f>
        <v/>
      </c>
      <c r="W28" s="259"/>
      <c r="X28" s="259" t="str">
        <f>IF(AND('Mapa final'!$H$40="Media",'Mapa final'!$L$40="Moderado"),CONCATENATE("R",'Mapa final'!$A$40),"")</f>
        <v/>
      </c>
      <c r="Y28" s="259"/>
      <c r="Z28" s="259" t="str">
        <f>IF(AND('Mapa final'!$H$46="Media",'Mapa final'!$L$46="Moderado"),CONCATENATE("R",'Mapa final'!$A$46),"")</f>
        <v/>
      </c>
      <c r="AA28" s="260"/>
      <c r="AB28" s="276" t="str">
        <f>IF(AND('Mapa final'!$H$34="Media",'Mapa final'!$L$34="Mayor"),CONCATENATE("R",'Mapa final'!$A$34),"")</f>
        <v/>
      </c>
      <c r="AC28" s="277"/>
      <c r="AD28" s="277" t="str">
        <f>IF(AND('Mapa final'!$H$40="Media",'Mapa final'!$L$40="Mayor"),CONCATENATE("R",'Mapa final'!$A$40),"")</f>
        <v/>
      </c>
      <c r="AE28" s="277"/>
      <c r="AF28" s="277" t="str">
        <f>IF(AND('Mapa final'!$H$46="Media",'Mapa final'!$L$46="Mayor"),CONCATENATE("R",'Mapa final'!$A$46),"")</f>
        <v/>
      </c>
      <c r="AG28" s="278"/>
      <c r="AH28" s="267" t="str">
        <f>IF(AND('Mapa final'!$H$34="Media",'Mapa final'!$L$34="Catastrófico"),CONCATENATE("R",'Mapa final'!$A$34),"")</f>
        <v/>
      </c>
      <c r="AI28" s="268"/>
      <c r="AJ28" s="268" t="str">
        <f>IF(AND('Mapa final'!$H$40="Media",'Mapa final'!$L$40="Catastrófico"),CONCATENATE("R",'Mapa final'!$A$40),"")</f>
        <v/>
      </c>
      <c r="AK28" s="268"/>
      <c r="AL28" s="268" t="str">
        <f>IF(AND('Mapa final'!$H$46="Media",'Mapa final'!$L$46="Catastrófico"),CONCATENATE("R",'Mapa final'!$A$46),"")</f>
        <v/>
      </c>
      <c r="AM28" s="269"/>
      <c r="AN28" s="83"/>
      <c r="AO28" s="319"/>
      <c r="AP28" s="320"/>
      <c r="AQ28" s="320"/>
      <c r="AR28" s="320"/>
      <c r="AS28" s="320"/>
      <c r="AT28" s="32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96"/>
      <c r="C29" s="296"/>
      <c r="D29" s="297"/>
      <c r="E29" s="292"/>
      <c r="F29" s="293"/>
      <c r="G29" s="293"/>
      <c r="H29" s="293"/>
      <c r="I29" s="294"/>
      <c r="J29" s="258"/>
      <c r="K29" s="259"/>
      <c r="L29" s="259"/>
      <c r="M29" s="259"/>
      <c r="N29" s="259"/>
      <c r="O29" s="260"/>
      <c r="P29" s="261"/>
      <c r="Q29" s="262"/>
      <c r="R29" s="262"/>
      <c r="S29" s="262"/>
      <c r="T29" s="262"/>
      <c r="U29" s="263"/>
      <c r="V29" s="261"/>
      <c r="W29" s="262"/>
      <c r="X29" s="262"/>
      <c r="Y29" s="262"/>
      <c r="Z29" s="262"/>
      <c r="AA29" s="263"/>
      <c r="AB29" s="279"/>
      <c r="AC29" s="280"/>
      <c r="AD29" s="280"/>
      <c r="AE29" s="280"/>
      <c r="AF29" s="280"/>
      <c r="AG29" s="281"/>
      <c r="AH29" s="270"/>
      <c r="AI29" s="271"/>
      <c r="AJ29" s="271"/>
      <c r="AK29" s="271"/>
      <c r="AL29" s="271"/>
      <c r="AM29" s="272"/>
      <c r="AN29" s="83"/>
      <c r="AO29" s="322"/>
      <c r="AP29" s="323"/>
      <c r="AQ29" s="323"/>
      <c r="AR29" s="323"/>
      <c r="AS29" s="323"/>
      <c r="AT29" s="32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96"/>
      <c r="C30" s="296"/>
      <c r="D30" s="297"/>
      <c r="E30" s="286" t="s">
        <v>114</v>
      </c>
      <c r="F30" s="287"/>
      <c r="G30" s="287"/>
      <c r="H30" s="287"/>
      <c r="I30" s="287"/>
      <c r="J30" s="255" t="str">
        <f>IF(AND('Mapa final'!$H$10="Baja",'Mapa final'!$L$10="Leve"),CONCATENATE("R",'Mapa final'!$A$10),"")</f>
        <v/>
      </c>
      <c r="K30" s="256"/>
      <c r="L30" s="256" t="str">
        <f>IF(AND('Mapa final'!$H$11="Baja",'Mapa final'!$L$11="Leve"),CONCATENATE("R",'Mapa final'!$A$11),"")</f>
        <v/>
      </c>
      <c r="M30" s="256"/>
      <c r="N30" s="256" t="str">
        <f>IF(AND('Mapa final'!$H$12="Baja",'Mapa final'!$L$12="Leve"),CONCATENATE("R",'Mapa final'!$A$12),"")</f>
        <v/>
      </c>
      <c r="O30" s="257"/>
      <c r="P30" s="265" t="str">
        <f>IF(AND('Mapa final'!$H$10="Baja",'Mapa final'!$L$10="Menor"),CONCATENATE("R",'Mapa final'!$A$10),"")</f>
        <v/>
      </c>
      <c r="Q30" s="265"/>
      <c r="R30" s="265" t="str">
        <f>IF(AND('Mapa final'!$H$11="Baja",'Mapa final'!$L$11="Menor"),CONCATENATE("R",'Mapa final'!$A$11),"")</f>
        <v/>
      </c>
      <c r="S30" s="265"/>
      <c r="T30" s="265" t="str">
        <f>IF(AND('Mapa final'!$H$12="Baja",'Mapa final'!$L$12="Menor"),CONCATENATE("R",'Mapa final'!$A$12),"")</f>
        <v/>
      </c>
      <c r="U30" s="266"/>
      <c r="V30" s="264" t="str">
        <f>IF(AND('Mapa final'!$H$10="Baja",'Mapa final'!$L$10="Moderado"),CONCATENATE("R",'Mapa final'!$A$10),"")</f>
        <v/>
      </c>
      <c r="W30" s="265"/>
      <c r="X30" s="265" t="str">
        <f>IF(AND('Mapa final'!$H$11="Baja",'Mapa final'!$L$11="Moderado"),CONCATENATE("R",'Mapa final'!$A$11),"")</f>
        <v/>
      </c>
      <c r="Y30" s="265"/>
      <c r="Z30" s="265" t="str">
        <f>IF(AND('Mapa final'!$H$12="Baja",'Mapa final'!$L$12="Moderado"),CONCATENATE("R",'Mapa final'!$A$12),"")</f>
        <v/>
      </c>
      <c r="AA30" s="266"/>
      <c r="AB30" s="282" t="str">
        <f>IF(AND('Mapa final'!$H$10="Baja",'Mapa final'!$L$10="Mayor"),CONCATENATE("R",'Mapa final'!$A$10),"")</f>
        <v/>
      </c>
      <c r="AC30" s="283"/>
      <c r="AD30" s="283" t="str">
        <f>IF(AND('Mapa final'!$H$11="Baja",'Mapa final'!$L$11="Mayor"),CONCATENATE("R",'Mapa final'!$A$11),"")</f>
        <v/>
      </c>
      <c r="AE30" s="283"/>
      <c r="AF30" s="283" t="str">
        <f>IF(AND('Mapa final'!$H$12="Baja",'Mapa final'!$L$12="Mayor"),CONCATENATE("R",'Mapa final'!$A$12),"")</f>
        <v/>
      </c>
      <c r="AG30" s="284"/>
      <c r="AH30" s="273" t="str">
        <f>IF(AND('Mapa final'!$H$10="Baja",'Mapa final'!$L$10="Catastrófico"),CONCATENATE("R",'Mapa final'!$A$10),"")</f>
        <v/>
      </c>
      <c r="AI30" s="274"/>
      <c r="AJ30" s="274" t="str">
        <f>IF(AND('Mapa final'!$H$11="Baja",'Mapa final'!$L$11="Catastrófico"),CONCATENATE("R",'Mapa final'!$A$11),"")</f>
        <v/>
      </c>
      <c r="AK30" s="274"/>
      <c r="AL30" s="274" t="str">
        <f>IF(AND('Mapa final'!$H$12="Baja",'Mapa final'!$L$12="Catastrófico"),CONCATENATE("R",'Mapa final'!$A$12),"")</f>
        <v/>
      </c>
      <c r="AM30" s="275"/>
      <c r="AN30" s="83"/>
      <c r="AO30" s="325" t="s">
        <v>82</v>
      </c>
      <c r="AP30" s="326"/>
      <c r="AQ30" s="326"/>
      <c r="AR30" s="326"/>
      <c r="AS30" s="326"/>
      <c r="AT30" s="32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96"/>
      <c r="C31" s="296"/>
      <c r="D31" s="297"/>
      <c r="E31" s="289"/>
      <c r="F31" s="290"/>
      <c r="G31" s="290"/>
      <c r="H31" s="290"/>
      <c r="I31" s="290"/>
      <c r="J31" s="249"/>
      <c r="K31" s="250"/>
      <c r="L31" s="250"/>
      <c r="M31" s="250"/>
      <c r="N31" s="250"/>
      <c r="O31" s="251"/>
      <c r="P31" s="259"/>
      <c r="Q31" s="259"/>
      <c r="R31" s="259"/>
      <c r="S31" s="259"/>
      <c r="T31" s="259"/>
      <c r="U31" s="260"/>
      <c r="V31" s="258"/>
      <c r="W31" s="259"/>
      <c r="X31" s="259"/>
      <c r="Y31" s="259"/>
      <c r="Z31" s="259"/>
      <c r="AA31" s="260"/>
      <c r="AB31" s="276"/>
      <c r="AC31" s="277"/>
      <c r="AD31" s="277"/>
      <c r="AE31" s="277"/>
      <c r="AF31" s="277"/>
      <c r="AG31" s="278"/>
      <c r="AH31" s="267"/>
      <c r="AI31" s="268"/>
      <c r="AJ31" s="268"/>
      <c r="AK31" s="268"/>
      <c r="AL31" s="268"/>
      <c r="AM31" s="269"/>
      <c r="AN31" s="83"/>
      <c r="AO31" s="328"/>
      <c r="AP31" s="329"/>
      <c r="AQ31" s="329"/>
      <c r="AR31" s="329"/>
      <c r="AS31" s="329"/>
      <c r="AT31" s="33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96"/>
      <c r="C32" s="296"/>
      <c r="D32" s="297"/>
      <c r="E32" s="289"/>
      <c r="F32" s="290"/>
      <c r="G32" s="290"/>
      <c r="H32" s="290"/>
      <c r="I32" s="290"/>
      <c r="J32" s="249" t="str">
        <f>IF(AND('Mapa final'!$H$13="Baja",'Mapa final'!$L$13="Leve"),CONCATENATE("R",'Mapa final'!$A$13),"")</f>
        <v/>
      </c>
      <c r="K32" s="250"/>
      <c r="L32" s="250" t="str">
        <f>IF(AND('Mapa final'!$H$14="Baja",'Mapa final'!$L$14="Leve"),CONCATENATE("R",'Mapa final'!$A$14),"")</f>
        <v/>
      </c>
      <c r="M32" s="250"/>
      <c r="N32" s="250" t="str">
        <f>IF(AND('Mapa final'!$H$15="Baja",'Mapa final'!$L$15="Leve"),CONCATENATE("R",'Mapa final'!$A$15),"")</f>
        <v/>
      </c>
      <c r="O32" s="251"/>
      <c r="P32" s="259" t="str">
        <f>IF(AND('Mapa final'!$H$13="Baja",'Mapa final'!$L$13="Menor"),CONCATENATE("R",'Mapa final'!$A$13),"")</f>
        <v/>
      </c>
      <c r="Q32" s="259"/>
      <c r="R32" s="259" t="str">
        <f>IF(AND('Mapa final'!$H$14="Baja",'Mapa final'!$L$14="Menor"),CONCATENATE("R",'Mapa final'!$A$14),"")</f>
        <v/>
      </c>
      <c r="S32" s="259"/>
      <c r="T32" s="259" t="str">
        <f>IF(AND('Mapa final'!$H$15="Baja",'Mapa final'!$L$15="Menor"),CONCATENATE("R",'Mapa final'!$A$15),"")</f>
        <v/>
      </c>
      <c r="U32" s="260"/>
      <c r="V32" s="258" t="str">
        <f>IF(AND('Mapa final'!$H$13="Baja",'Mapa final'!$L$13="Moderado"),CONCATENATE("R",'Mapa final'!$A$13),"")</f>
        <v/>
      </c>
      <c r="W32" s="259"/>
      <c r="X32" s="259" t="str">
        <f>IF(AND('Mapa final'!$H$14="Baja",'Mapa final'!$L$14="Moderado"),CONCATENATE("R",'Mapa final'!$A$14),"")</f>
        <v>R5</v>
      </c>
      <c r="Y32" s="259"/>
      <c r="Z32" s="259" t="str">
        <f>IF(AND('Mapa final'!$H$15="Baja",'Mapa final'!$L$15="Moderado"),CONCATENATE("R",'Mapa final'!$A$15),"")</f>
        <v>R6</v>
      </c>
      <c r="AA32" s="260"/>
      <c r="AB32" s="276" t="str">
        <f>IF(AND('Mapa final'!$H$13="Baja",'Mapa final'!$L$13="Mayor"),CONCATENATE("R",'Mapa final'!$A$13),"")</f>
        <v/>
      </c>
      <c r="AC32" s="277"/>
      <c r="AD32" s="277" t="str">
        <f>IF(AND('Mapa final'!$H$14="Baja",'Mapa final'!$L$14="Mayor"),CONCATENATE("R",'Mapa final'!$A$14),"")</f>
        <v/>
      </c>
      <c r="AE32" s="277"/>
      <c r="AF32" s="277" t="str">
        <f>IF(AND('Mapa final'!$H$15="Baja",'Mapa final'!$L$15="Mayor"),CONCATENATE("R",'Mapa final'!$A$15),"")</f>
        <v/>
      </c>
      <c r="AG32" s="278"/>
      <c r="AH32" s="267" t="str">
        <f>IF(AND('Mapa final'!$H$13="Baja",'Mapa final'!$L$13="Catastrófico"),CONCATENATE("R",'Mapa final'!$A$13),"")</f>
        <v/>
      </c>
      <c r="AI32" s="268"/>
      <c r="AJ32" s="268" t="str">
        <f>IF(AND('Mapa final'!$H$14="Baja",'Mapa final'!$L$14="Catastrófico"),CONCATENATE("R",'Mapa final'!$A$14),"")</f>
        <v/>
      </c>
      <c r="AK32" s="268"/>
      <c r="AL32" s="268" t="str">
        <f>IF(AND('Mapa final'!$H$15="Baja",'Mapa final'!$L$15="Catastrófico"),CONCATENATE("R",'Mapa final'!$A$15),"")</f>
        <v/>
      </c>
      <c r="AM32" s="269"/>
      <c r="AN32" s="83"/>
      <c r="AO32" s="328"/>
      <c r="AP32" s="329"/>
      <c r="AQ32" s="329"/>
      <c r="AR32" s="329"/>
      <c r="AS32" s="329"/>
      <c r="AT32" s="33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96"/>
      <c r="C33" s="296"/>
      <c r="D33" s="297"/>
      <c r="E33" s="289"/>
      <c r="F33" s="290"/>
      <c r="G33" s="290"/>
      <c r="H33" s="290"/>
      <c r="I33" s="290"/>
      <c r="J33" s="249"/>
      <c r="K33" s="250"/>
      <c r="L33" s="250"/>
      <c r="M33" s="250"/>
      <c r="N33" s="250"/>
      <c r="O33" s="251"/>
      <c r="P33" s="259"/>
      <c r="Q33" s="259"/>
      <c r="R33" s="259"/>
      <c r="S33" s="259"/>
      <c r="T33" s="259"/>
      <c r="U33" s="260"/>
      <c r="V33" s="258"/>
      <c r="W33" s="259"/>
      <c r="X33" s="259"/>
      <c r="Y33" s="259"/>
      <c r="Z33" s="259"/>
      <c r="AA33" s="260"/>
      <c r="AB33" s="276"/>
      <c r="AC33" s="277"/>
      <c r="AD33" s="277"/>
      <c r="AE33" s="277"/>
      <c r="AF33" s="277"/>
      <c r="AG33" s="278"/>
      <c r="AH33" s="267"/>
      <c r="AI33" s="268"/>
      <c r="AJ33" s="268"/>
      <c r="AK33" s="268"/>
      <c r="AL33" s="268"/>
      <c r="AM33" s="269"/>
      <c r="AN33" s="83"/>
      <c r="AO33" s="328"/>
      <c r="AP33" s="329"/>
      <c r="AQ33" s="329"/>
      <c r="AR33" s="329"/>
      <c r="AS33" s="329"/>
      <c r="AT33" s="33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96"/>
      <c r="C34" s="296"/>
      <c r="D34" s="297"/>
      <c r="E34" s="289"/>
      <c r="F34" s="290"/>
      <c r="G34" s="290"/>
      <c r="H34" s="290"/>
      <c r="I34" s="290"/>
      <c r="J34" s="249" t="str">
        <f>IF(AND('Mapa final'!$H$16="Baja",'Mapa final'!$L$16="Leve"),CONCATENATE("R",'Mapa final'!$A$16),"")</f>
        <v/>
      </c>
      <c r="K34" s="250"/>
      <c r="L34" s="250" t="str">
        <f>IF(AND('Mapa final'!$H$22="Baja",'Mapa final'!$L$22="Leve"),CONCATENATE("R",'Mapa final'!$A$22),"")</f>
        <v/>
      </c>
      <c r="M34" s="250"/>
      <c r="N34" s="250" t="str">
        <f>IF(AND('Mapa final'!$H$28="Baja",'Mapa final'!$L$28="Leve"),CONCATENATE("R",'Mapa final'!$A$28),"")</f>
        <v/>
      </c>
      <c r="O34" s="251"/>
      <c r="P34" s="259" t="str">
        <f>IF(AND('Mapa final'!$H$16="Baja",'Mapa final'!$L$16="Menor"),CONCATENATE("R",'Mapa final'!$A$16),"")</f>
        <v/>
      </c>
      <c r="Q34" s="259"/>
      <c r="R34" s="259" t="str">
        <f>IF(AND('Mapa final'!$H$22="Baja",'Mapa final'!$L$22="Menor"),CONCATENATE("R",'Mapa final'!$A$22),"")</f>
        <v/>
      </c>
      <c r="S34" s="259"/>
      <c r="T34" s="259" t="str">
        <f>IF(AND('Mapa final'!$H$28="Baja",'Mapa final'!$L$28="Menor"),CONCATENATE("R",'Mapa final'!$A$28),"")</f>
        <v/>
      </c>
      <c r="U34" s="260"/>
      <c r="V34" s="258" t="str">
        <f>IF(AND('Mapa final'!$H$16="Baja",'Mapa final'!$L$16="Moderado"),CONCATENATE("R",'Mapa final'!$A$16),"")</f>
        <v/>
      </c>
      <c r="W34" s="259"/>
      <c r="X34" s="259" t="str">
        <f>IF(AND('Mapa final'!$H$22="Baja",'Mapa final'!$L$22="Moderado"),CONCATENATE("R",'Mapa final'!$A$22),"")</f>
        <v/>
      </c>
      <c r="Y34" s="259"/>
      <c r="Z34" s="259" t="str">
        <f>IF(AND('Mapa final'!$H$28="Baja",'Mapa final'!$L$28="Moderado"),CONCATENATE("R",'Mapa final'!$A$28),"")</f>
        <v/>
      </c>
      <c r="AA34" s="260"/>
      <c r="AB34" s="276" t="str">
        <f>IF(AND('Mapa final'!$H$16="Baja",'Mapa final'!$L$16="Mayor"),CONCATENATE("R",'Mapa final'!$A$16),"")</f>
        <v/>
      </c>
      <c r="AC34" s="277"/>
      <c r="AD34" s="277" t="str">
        <f>IF(AND('Mapa final'!$H$22="Baja",'Mapa final'!$L$22="Mayor"),CONCATENATE("R",'Mapa final'!$A$22),"")</f>
        <v/>
      </c>
      <c r="AE34" s="277"/>
      <c r="AF34" s="277" t="str">
        <f>IF(AND('Mapa final'!$H$28="Baja",'Mapa final'!$L$28="Mayor"),CONCATENATE("R",'Mapa final'!$A$28),"")</f>
        <v/>
      </c>
      <c r="AG34" s="278"/>
      <c r="AH34" s="267" t="str">
        <f>IF(AND('Mapa final'!$H$16="Baja",'Mapa final'!$L$16="Catastrófico"),CONCATENATE("R",'Mapa final'!$A$16),"")</f>
        <v/>
      </c>
      <c r="AI34" s="268"/>
      <c r="AJ34" s="268" t="str">
        <f>IF(AND('Mapa final'!$H$22="Baja",'Mapa final'!$L$22="Catastrófico"),CONCATENATE("R",'Mapa final'!$A$22),"")</f>
        <v/>
      </c>
      <c r="AK34" s="268"/>
      <c r="AL34" s="268" t="str">
        <f>IF(AND('Mapa final'!$H$28="Baja",'Mapa final'!$L$28="Catastrófico"),CONCATENATE("R",'Mapa final'!$A$28),"")</f>
        <v/>
      </c>
      <c r="AM34" s="269"/>
      <c r="AN34" s="83"/>
      <c r="AO34" s="328"/>
      <c r="AP34" s="329"/>
      <c r="AQ34" s="329"/>
      <c r="AR34" s="329"/>
      <c r="AS34" s="329"/>
      <c r="AT34" s="33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96"/>
      <c r="C35" s="296"/>
      <c r="D35" s="297"/>
      <c r="E35" s="289"/>
      <c r="F35" s="290"/>
      <c r="G35" s="290"/>
      <c r="H35" s="290"/>
      <c r="I35" s="290"/>
      <c r="J35" s="249"/>
      <c r="K35" s="250"/>
      <c r="L35" s="250"/>
      <c r="M35" s="250"/>
      <c r="N35" s="250"/>
      <c r="O35" s="251"/>
      <c r="P35" s="259"/>
      <c r="Q35" s="259"/>
      <c r="R35" s="259"/>
      <c r="S35" s="259"/>
      <c r="T35" s="259"/>
      <c r="U35" s="260"/>
      <c r="V35" s="258"/>
      <c r="W35" s="259"/>
      <c r="X35" s="259"/>
      <c r="Y35" s="259"/>
      <c r="Z35" s="259"/>
      <c r="AA35" s="260"/>
      <c r="AB35" s="276"/>
      <c r="AC35" s="277"/>
      <c r="AD35" s="277"/>
      <c r="AE35" s="277"/>
      <c r="AF35" s="277"/>
      <c r="AG35" s="278"/>
      <c r="AH35" s="267"/>
      <c r="AI35" s="268"/>
      <c r="AJ35" s="268"/>
      <c r="AK35" s="268"/>
      <c r="AL35" s="268"/>
      <c r="AM35" s="269"/>
      <c r="AN35" s="83"/>
      <c r="AO35" s="328"/>
      <c r="AP35" s="329"/>
      <c r="AQ35" s="329"/>
      <c r="AR35" s="329"/>
      <c r="AS35" s="329"/>
      <c r="AT35" s="33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96"/>
      <c r="C36" s="296"/>
      <c r="D36" s="297"/>
      <c r="E36" s="289"/>
      <c r="F36" s="290"/>
      <c r="G36" s="290"/>
      <c r="H36" s="290"/>
      <c r="I36" s="290"/>
      <c r="J36" s="249" t="str">
        <f>IF(AND('Mapa final'!$H$34="Baja",'Mapa final'!$L$34="Leve"),CONCATENATE("R",'Mapa final'!$A$34),"")</f>
        <v/>
      </c>
      <c r="K36" s="250"/>
      <c r="L36" s="250" t="str">
        <f>IF(AND('Mapa final'!$H$40="Baja",'Mapa final'!$L$40="Leve"),CONCATENATE("R",'Mapa final'!$A$40),"")</f>
        <v/>
      </c>
      <c r="M36" s="250"/>
      <c r="N36" s="250" t="str">
        <f>IF(AND('Mapa final'!$H$46="Baja",'Mapa final'!$L$46="Leve"),CONCATENATE("R",'Mapa final'!$A$46),"")</f>
        <v/>
      </c>
      <c r="O36" s="251"/>
      <c r="P36" s="259" t="str">
        <f>IF(AND('Mapa final'!$H$34="Baja",'Mapa final'!$L$34="Menor"),CONCATENATE("R",'Mapa final'!$A$34),"")</f>
        <v/>
      </c>
      <c r="Q36" s="259"/>
      <c r="R36" s="259" t="str">
        <f>IF(AND('Mapa final'!$H$40="Baja",'Mapa final'!$L$40="Menor"),CONCATENATE("R",'Mapa final'!$A$40),"")</f>
        <v/>
      </c>
      <c r="S36" s="259"/>
      <c r="T36" s="259" t="str">
        <f>IF(AND('Mapa final'!$H$46="Baja",'Mapa final'!$L$46="Menor"),CONCATENATE("R",'Mapa final'!$A$46),"")</f>
        <v/>
      </c>
      <c r="U36" s="260"/>
      <c r="V36" s="258" t="str">
        <f>IF(AND('Mapa final'!$H$34="Baja",'Mapa final'!$L$34="Moderado"),CONCATENATE("R",'Mapa final'!$A$34),"")</f>
        <v/>
      </c>
      <c r="W36" s="259"/>
      <c r="X36" s="259" t="str">
        <f>IF(AND('Mapa final'!$H$40="Baja",'Mapa final'!$L$40="Moderado"),CONCATENATE("R",'Mapa final'!$A$40),"")</f>
        <v/>
      </c>
      <c r="Y36" s="259"/>
      <c r="Z36" s="259" t="str">
        <f>IF(AND('Mapa final'!$H$46="Baja",'Mapa final'!$L$46="Moderado"),CONCATENATE("R",'Mapa final'!$A$46),"")</f>
        <v/>
      </c>
      <c r="AA36" s="260"/>
      <c r="AB36" s="276" t="str">
        <f>IF(AND('Mapa final'!$H$34="Baja",'Mapa final'!$L$34="Mayor"),CONCATENATE("R",'Mapa final'!$A$34),"")</f>
        <v/>
      </c>
      <c r="AC36" s="277"/>
      <c r="AD36" s="277" t="str">
        <f>IF(AND('Mapa final'!$H$40="Baja",'Mapa final'!$L$40="Mayor"),CONCATENATE("R",'Mapa final'!$A$40),"")</f>
        <v/>
      </c>
      <c r="AE36" s="277"/>
      <c r="AF36" s="277" t="str">
        <f>IF(AND('Mapa final'!$H$46="Baja",'Mapa final'!$L$46="Mayor"),CONCATENATE("R",'Mapa final'!$A$46),"")</f>
        <v/>
      </c>
      <c r="AG36" s="278"/>
      <c r="AH36" s="267" t="str">
        <f>IF(AND('Mapa final'!$H$34="Baja",'Mapa final'!$L$34="Catastrófico"),CONCATENATE("R",'Mapa final'!$A$34),"")</f>
        <v/>
      </c>
      <c r="AI36" s="268"/>
      <c r="AJ36" s="268" t="str">
        <f>IF(AND('Mapa final'!$H$40="Baja",'Mapa final'!$L$40="Catastrófico"),CONCATENATE("R",'Mapa final'!$A$40),"")</f>
        <v/>
      </c>
      <c r="AK36" s="268"/>
      <c r="AL36" s="268" t="str">
        <f>IF(AND('Mapa final'!$H$46="Baja",'Mapa final'!$L$46="Catastrófico"),CONCATENATE("R",'Mapa final'!$A$46),"")</f>
        <v/>
      </c>
      <c r="AM36" s="269"/>
      <c r="AN36" s="83"/>
      <c r="AO36" s="328"/>
      <c r="AP36" s="329"/>
      <c r="AQ36" s="329"/>
      <c r="AR36" s="329"/>
      <c r="AS36" s="329"/>
      <c r="AT36" s="33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96"/>
      <c r="C37" s="296"/>
      <c r="D37" s="297"/>
      <c r="E37" s="292"/>
      <c r="F37" s="293"/>
      <c r="G37" s="293"/>
      <c r="H37" s="293"/>
      <c r="I37" s="293"/>
      <c r="J37" s="252"/>
      <c r="K37" s="253"/>
      <c r="L37" s="253"/>
      <c r="M37" s="253"/>
      <c r="N37" s="253"/>
      <c r="O37" s="254"/>
      <c r="P37" s="262"/>
      <c r="Q37" s="262"/>
      <c r="R37" s="262"/>
      <c r="S37" s="262"/>
      <c r="T37" s="262"/>
      <c r="U37" s="263"/>
      <c r="V37" s="261"/>
      <c r="W37" s="262"/>
      <c r="X37" s="262"/>
      <c r="Y37" s="262"/>
      <c r="Z37" s="262"/>
      <c r="AA37" s="263"/>
      <c r="AB37" s="279"/>
      <c r="AC37" s="280"/>
      <c r="AD37" s="280"/>
      <c r="AE37" s="280"/>
      <c r="AF37" s="280"/>
      <c r="AG37" s="281"/>
      <c r="AH37" s="270"/>
      <c r="AI37" s="271"/>
      <c r="AJ37" s="271"/>
      <c r="AK37" s="271"/>
      <c r="AL37" s="271"/>
      <c r="AM37" s="272"/>
      <c r="AN37" s="83"/>
      <c r="AO37" s="331"/>
      <c r="AP37" s="332"/>
      <c r="AQ37" s="332"/>
      <c r="AR37" s="332"/>
      <c r="AS37" s="332"/>
      <c r="AT37" s="33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96"/>
      <c r="C38" s="296"/>
      <c r="D38" s="297"/>
      <c r="E38" s="286" t="s">
        <v>113</v>
      </c>
      <c r="F38" s="287"/>
      <c r="G38" s="287"/>
      <c r="H38" s="287"/>
      <c r="I38" s="288"/>
      <c r="J38" s="255" t="str">
        <f>IF(AND('Mapa final'!$H$10="Muy Baja",'Mapa final'!$L$10="Leve"),CONCATENATE("R",'Mapa final'!$A$10),"")</f>
        <v/>
      </c>
      <c r="K38" s="256"/>
      <c r="L38" s="256" t="str">
        <f>IF(AND('Mapa final'!$H$11="Muy Baja",'Mapa final'!$L$11="Leve"),CONCATENATE("R",'Mapa final'!$A$11),"")</f>
        <v/>
      </c>
      <c r="M38" s="256"/>
      <c r="N38" s="256" t="str">
        <f>IF(AND('Mapa final'!$H$12="Muy Baja",'Mapa final'!$L$12="Leve"),CONCATENATE("R",'Mapa final'!$A$12),"")</f>
        <v/>
      </c>
      <c r="O38" s="257"/>
      <c r="P38" s="255" t="str">
        <f>IF(AND('Mapa final'!$H$10="Muy Baja",'Mapa final'!$L$10="Menor"),CONCATENATE("R",'Mapa final'!$A$10),"")</f>
        <v/>
      </c>
      <c r="Q38" s="256"/>
      <c r="R38" s="256" t="str">
        <f>IF(AND('Mapa final'!$H$11="Muy Baja",'Mapa final'!$L$11="Menor"),CONCATENATE("R",'Mapa final'!$A$11),"")</f>
        <v/>
      </c>
      <c r="S38" s="256"/>
      <c r="T38" s="256" t="str">
        <f>IF(AND('Mapa final'!$H$12="Muy Baja",'Mapa final'!$L$12="Menor"),CONCATENATE("R",'Mapa final'!$A$12),"")</f>
        <v/>
      </c>
      <c r="U38" s="257"/>
      <c r="V38" s="264" t="str">
        <f>IF(AND('Mapa final'!$H$10="Muy Baja",'Mapa final'!$L$10="Moderado"),CONCATENATE("R",'Mapa final'!$A$10),"")</f>
        <v/>
      </c>
      <c r="W38" s="265"/>
      <c r="X38" s="265" t="str">
        <f>IF(AND('Mapa final'!$H$11="Muy Baja",'Mapa final'!$L$11="Moderado"),CONCATENATE("R",'Mapa final'!$A$11),"")</f>
        <v/>
      </c>
      <c r="Y38" s="265"/>
      <c r="Z38" s="265" t="str">
        <f>IF(AND('Mapa final'!$H$12="Muy Baja",'Mapa final'!$L$12="Moderado"),CONCATENATE("R",'Mapa final'!$A$12),"")</f>
        <v/>
      </c>
      <c r="AA38" s="266"/>
      <c r="AB38" s="282" t="str">
        <f>IF(AND('Mapa final'!$H$10="Muy Baja",'Mapa final'!$L$10="Mayor"),CONCATENATE("R",'Mapa final'!$A$10),"")</f>
        <v/>
      </c>
      <c r="AC38" s="283"/>
      <c r="AD38" s="283" t="str">
        <f>IF(AND('Mapa final'!$H$11="Muy Baja",'Mapa final'!$L$11="Mayor"),CONCATENATE("R",'Mapa final'!$A$11),"")</f>
        <v/>
      </c>
      <c r="AE38" s="283"/>
      <c r="AF38" s="283" t="str">
        <f>IF(AND('Mapa final'!$H$12="Muy Baja",'Mapa final'!$L$12="Mayor"),CONCATENATE("R",'Mapa final'!$A$12),"")</f>
        <v/>
      </c>
      <c r="AG38" s="284"/>
      <c r="AH38" s="273" t="str">
        <f>IF(AND('Mapa final'!$H$10="Muy Baja",'Mapa final'!$L$10="Catastrófico"),CONCATENATE("R",'Mapa final'!$A$10),"")</f>
        <v/>
      </c>
      <c r="AI38" s="274"/>
      <c r="AJ38" s="274" t="str">
        <f>IF(AND('Mapa final'!$H$11="Muy Baja",'Mapa final'!$L$11="Catastrófico"),CONCATENATE("R",'Mapa final'!$A$11),"")</f>
        <v/>
      </c>
      <c r="AK38" s="274"/>
      <c r="AL38" s="274" t="str">
        <f>IF(AND('Mapa final'!$H$12="Muy Baja",'Mapa final'!$L$12="Catastrófico"),CONCATENATE("R",'Mapa final'!$A$12),"")</f>
        <v/>
      </c>
      <c r="AM38" s="27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96"/>
      <c r="C39" s="296"/>
      <c r="D39" s="297"/>
      <c r="E39" s="289"/>
      <c r="F39" s="290"/>
      <c r="G39" s="290"/>
      <c r="H39" s="290"/>
      <c r="I39" s="291"/>
      <c r="J39" s="249"/>
      <c r="K39" s="250"/>
      <c r="L39" s="250"/>
      <c r="M39" s="250"/>
      <c r="N39" s="250"/>
      <c r="O39" s="251"/>
      <c r="P39" s="249"/>
      <c r="Q39" s="250"/>
      <c r="R39" s="250"/>
      <c r="S39" s="250"/>
      <c r="T39" s="250"/>
      <c r="U39" s="251"/>
      <c r="V39" s="258"/>
      <c r="W39" s="259"/>
      <c r="X39" s="259"/>
      <c r="Y39" s="259"/>
      <c r="Z39" s="259"/>
      <c r="AA39" s="260"/>
      <c r="AB39" s="276"/>
      <c r="AC39" s="277"/>
      <c r="AD39" s="277"/>
      <c r="AE39" s="277"/>
      <c r="AF39" s="277"/>
      <c r="AG39" s="278"/>
      <c r="AH39" s="267"/>
      <c r="AI39" s="268"/>
      <c r="AJ39" s="268"/>
      <c r="AK39" s="268"/>
      <c r="AL39" s="268"/>
      <c r="AM39" s="26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96"/>
      <c r="C40" s="296"/>
      <c r="D40" s="297"/>
      <c r="E40" s="289"/>
      <c r="F40" s="290"/>
      <c r="G40" s="290"/>
      <c r="H40" s="290"/>
      <c r="I40" s="291"/>
      <c r="J40" s="249" t="str">
        <f>IF(AND('Mapa final'!$H$13="Muy Baja",'Mapa final'!$L$13="Leve"),CONCATENATE("R",'Mapa final'!$A$13),"")</f>
        <v/>
      </c>
      <c r="K40" s="250"/>
      <c r="L40" s="250" t="str">
        <f>IF(AND('Mapa final'!$H$14="Muy Baja",'Mapa final'!$L$14="Leve"),CONCATENATE("R",'Mapa final'!$A$14),"")</f>
        <v/>
      </c>
      <c r="M40" s="250"/>
      <c r="N40" s="250" t="str">
        <f>IF(AND('Mapa final'!$H$15="Muy Baja",'Mapa final'!$L$15="Leve"),CONCATENATE("R",'Mapa final'!$A$15),"")</f>
        <v/>
      </c>
      <c r="O40" s="251"/>
      <c r="P40" s="249" t="str">
        <f>IF(AND('Mapa final'!$H$13="Muy Baja",'Mapa final'!$L$13="Menor"),CONCATENATE("R",'Mapa final'!$A$13),"")</f>
        <v/>
      </c>
      <c r="Q40" s="250"/>
      <c r="R40" s="250" t="str">
        <f>IF(AND('Mapa final'!$H$14="Muy Baja",'Mapa final'!$L$14="Menor"),CONCATENATE("R",'Mapa final'!$A$14),"")</f>
        <v/>
      </c>
      <c r="S40" s="250"/>
      <c r="T40" s="250" t="str">
        <f>IF(AND('Mapa final'!$H$15="Muy Baja",'Mapa final'!$L$15="Menor"),CONCATENATE("R",'Mapa final'!$A$15),"")</f>
        <v/>
      </c>
      <c r="U40" s="251"/>
      <c r="V40" s="258" t="str">
        <f>IF(AND('Mapa final'!$H$13="Muy Baja",'Mapa final'!$L$13="Moderado"),CONCATENATE("R",'Mapa final'!$A$13),"")</f>
        <v/>
      </c>
      <c r="W40" s="259"/>
      <c r="X40" s="259" t="str">
        <f>IF(AND('Mapa final'!$H$14="Muy Baja",'Mapa final'!$L$14="Moderado"),CONCATENATE("R",'Mapa final'!$A$14),"")</f>
        <v/>
      </c>
      <c r="Y40" s="259"/>
      <c r="Z40" s="259" t="str">
        <f>IF(AND('Mapa final'!$H$15="Muy Baja",'Mapa final'!$L$15="Moderado"),CONCATENATE("R",'Mapa final'!$A$15),"")</f>
        <v/>
      </c>
      <c r="AA40" s="260"/>
      <c r="AB40" s="276" t="str">
        <f>IF(AND('Mapa final'!$H$13="Muy Baja",'Mapa final'!$L$13="Mayor"),CONCATENATE("R",'Mapa final'!$A$13),"")</f>
        <v/>
      </c>
      <c r="AC40" s="277"/>
      <c r="AD40" s="277" t="str">
        <f>IF(AND('Mapa final'!$H$14="Muy Baja",'Mapa final'!$L$14="Mayor"),CONCATENATE("R",'Mapa final'!$A$14),"")</f>
        <v/>
      </c>
      <c r="AE40" s="277"/>
      <c r="AF40" s="277" t="str">
        <f>IF(AND('Mapa final'!$H$15="Muy Baja",'Mapa final'!$L$15="Mayor"),CONCATENATE("R",'Mapa final'!$A$15),"")</f>
        <v/>
      </c>
      <c r="AG40" s="278"/>
      <c r="AH40" s="267" t="str">
        <f>IF(AND('Mapa final'!$H$13="Muy Baja",'Mapa final'!$L$13="Catastrófico"),CONCATENATE("R",'Mapa final'!$A$13),"")</f>
        <v/>
      </c>
      <c r="AI40" s="268"/>
      <c r="AJ40" s="268" t="str">
        <f>IF(AND('Mapa final'!$H$14="Muy Baja",'Mapa final'!$L$14="Catastrófico"),CONCATENATE("R",'Mapa final'!$A$14),"")</f>
        <v/>
      </c>
      <c r="AK40" s="268"/>
      <c r="AL40" s="268" t="str">
        <f>IF(AND('Mapa final'!$H$15="Muy Baja",'Mapa final'!$L$15="Catastrófico"),CONCATENATE("R",'Mapa final'!$A$15),"")</f>
        <v/>
      </c>
      <c r="AM40" s="26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96"/>
      <c r="C41" s="296"/>
      <c r="D41" s="297"/>
      <c r="E41" s="289"/>
      <c r="F41" s="290"/>
      <c r="G41" s="290"/>
      <c r="H41" s="290"/>
      <c r="I41" s="291"/>
      <c r="J41" s="249"/>
      <c r="K41" s="250"/>
      <c r="L41" s="250"/>
      <c r="M41" s="250"/>
      <c r="N41" s="250"/>
      <c r="O41" s="251"/>
      <c r="P41" s="249"/>
      <c r="Q41" s="250"/>
      <c r="R41" s="250"/>
      <c r="S41" s="250"/>
      <c r="T41" s="250"/>
      <c r="U41" s="251"/>
      <c r="V41" s="258"/>
      <c r="W41" s="259"/>
      <c r="X41" s="259"/>
      <c r="Y41" s="259"/>
      <c r="Z41" s="259"/>
      <c r="AA41" s="260"/>
      <c r="AB41" s="276"/>
      <c r="AC41" s="277"/>
      <c r="AD41" s="277"/>
      <c r="AE41" s="277"/>
      <c r="AF41" s="277"/>
      <c r="AG41" s="278"/>
      <c r="AH41" s="267"/>
      <c r="AI41" s="268"/>
      <c r="AJ41" s="268"/>
      <c r="AK41" s="268"/>
      <c r="AL41" s="268"/>
      <c r="AM41" s="26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96"/>
      <c r="C42" s="296"/>
      <c r="D42" s="297"/>
      <c r="E42" s="289"/>
      <c r="F42" s="290"/>
      <c r="G42" s="290"/>
      <c r="H42" s="290"/>
      <c r="I42" s="291"/>
      <c r="J42" s="249" t="str">
        <f>IF(AND('Mapa final'!$H$16="Muy Baja",'Mapa final'!$L$16="Leve"),CONCATENATE("R",'Mapa final'!$A$16),"")</f>
        <v/>
      </c>
      <c r="K42" s="250"/>
      <c r="L42" s="250" t="str">
        <f>IF(AND('Mapa final'!$H$22="Muy Baja",'Mapa final'!$L$22="Leve"),CONCATENATE("R",'Mapa final'!$A$22),"")</f>
        <v/>
      </c>
      <c r="M42" s="250"/>
      <c r="N42" s="250" t="str">
        <f>IF(AND('Mapa final'!$H$28="Muy Baja",'Mapa final'!$L$28="Leve"),CONCATENATE("R",'Mapa final'!$A$28),"")</f>
        <v/>
      </c>
      <c r="O42" s="251"/>
      <c r="P42" s="249" t="str">
        <f>IF(AND('Mapa final'!$H$16="Muy Baja",'Mapa final'!$L$16="Menor"),CONCATENATE("R",'Mapa final'!$A$16),"")</f>
        <v/>
      </c>
      <c r="Q42" s="250"/>
      <c r="R42" s="250" t="str">
        <f>IF(AND('Mapa final'!$H$22="Muy Baja",'Mapa final'!$L$22="Menor"),CONCATENATE("R",'Mapa final'!$A$22),"")</f>
        <v/>
      </c>
      <c r="S42" s="250"/>
      <c r="T42" s="250" t="str">
        <f>IF(AND('Mapa final'!$H$28="Muy Baja",'Mapa final'!$L$28="Menor"),CONCATENATE("R",'Mapa final'!$A$28),"")</f>
        <v/>
      </c>
      <c r="U42" s="251"/>
      <c r="V42" s="258" t="str">
        <f>IF(AND('Mapa final'!$H$16="Muy Baja",'Mapa final'!$L$16="Moderado"),CONCATENATE("R",'Mapa final'!$A$16),"")</f>
        <v/>
      </c>
      <c r="W42" s="259"/>
      <c r="X42" s="259" t="str">
        <f>IF(AND('Mapa final'!$H$22="Muy Baja",'Mapa final'!$L$22="Moderado"),CONCATENATE("R",'Mapa final'!$A$22),"")</f>
        <v/>
      </c>
      <c r="Y42" s="259"/>
      <c r="Z42" s="259" t="str">
        <f>IF(AND('Mapa final'!$H$28="Muy Baja",'Mapa final'!$L$28="Moderado"),CONCATENATE("R",'Mapa final'!$A$28),"")</f>
        <v/>
      </c>
      <c r="AA42" s="260"/>
      <c r="AB42" s="276" t="str">
        <f>IF(AND('Mapa final'!$H$16="Muy Baja",'Mapa final'!$L$16="Mayor"),CONCATENATE("R",'Mapa final'!$A$16),"")</f>
        <v/>
      </c>
      <c r="AC42" s="277"/>
      <c r="AD42" s="277" t="str">
        <f>IF(AND('Mapa final'!$H$22="Muy Baja",'Mapa final'!$L$22="Mayor"),CONCATENATE("R",'Mapa final'!$A$22),"")</f>
        <v/>
      </c>
      <c r="AE42" s="277"/>
      <c r="AF42" s="277" t="str">
        <f>IF(AND('Mapa final'!$H$28="Muy Baja",'Mapa final'!$L$28="Mayor"),CONCATENATE("R",'Mapa final'!$A$28),"")</f>
        <v/>
      </c>
      <c r="AG42" s="278"/>
      <c r="AH42" s="267" t="str">
        <f>IF(AND('Mapa final'!$H$16="Muy Baja",'Mapa final'!$L$16="Catastrófico"),CONCATENATE("R",'Mapa final'!$A$16),"")</f>
        <v/>
      </c>
      <c r="AI42" s="268"/>
      <c r="AJ42" s="268" t="str">
        <f>IF(AND('Mapa final'!$H$22="Muy Baja",'Mapa final'!$L$22="Catastrófico"),CONCATENATE("R",'Mapa final'!$A$22),"")</f>
        <v/>
      </c>
      <c r="AK42" s="268"/>
      <c r="AL42" s="268" t="str">
        <f>IF(AND('Mapa final'!$H$28="Muy Baja",'Mapa final'!$L$28="Catastrófico"),CONCATENATE("R",'Mapa final'!$A$28),"")</f>
        <v/>
      </c>
      <c r="AM42" s="26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96"/>
      <c r="C43" s="296"/>
      <c r="D43" s="297"/>
      <c r="E43" s="289"/>
      <c r="F43" s="290"/>
      <c r="G43" s="290"/>
      <c r="H43" s="290"/>
      <c r="I43" s="291"/>
      <c r="J43" s="249"/>
      <c r="K43" s="250"/>
      <c r="L43" s="250"/>
      <c r="M43" s="250"/>
      <c r="N43" s="250"/>
      <c r="O43" s="251"/>
      <c r="P43" s="249"/>
      <c r="Q43" s="250"/>
      <c r="R43" s="250"/>
      <c r="S43" s="250"/>
      <c r="T43" s="250"/>
      <c r="U43" s="251"/>
      <c r="V43" s="258"/>
      <c r="W43" s="259"/>
      <c r="X43" s="259"/>
      <c r="Y43" s="259"/>
      <c r="Z43" s="259"/>
      <c r="AA43" s="260"/>
      <c r="AB43" s="276"/>
      <c r="AC43" s="277"/>
      <c r="AD43" s="277"/>
      <c r="AE43" s="277"/>
      <c r="AF43" s="277"/>
      <c r="AG43" s="278"/>
      <c r="AH43" s="267"/>
      <c r="AI43" s="268"/>
      <c r="AJ43" s="268"/>
      <c r="AK43" s="268"/>
      <c r="AL43" s="268"/>
      <c r="AM43" s="26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96"/>
      <c r="C44" s="296"/>
      <c r="D44" s="297"/>
      <c r="E44" s="289"/>
      <c r="F44" s="290"/>
      <c r="G44" s="290"/>
      <c r="H44" s="290"/>
      <c r="I44" s="291"/>
      <c r="J44" s="249" t="str">
        <f>IF(AND('Mapa final'!$H$34="Muy Baja",'Mapa final'!$L$34="Leve"),CONCATENATE("R",'Mapa final'!$A$34),"")</f>
        <v/>
      </c>
      <c r="K44" s="250"/>
      <c r="L44" s="250" t="str">
        <f>IF(AND('Mapa final'!$H$40="Muy Baja",'Mapa final'!$L$40="Leve"),CONCATENATE("R",'Mapa final'!$A$40),"")</f>
        <v/>
      </c>
      <c r="M44" s="250"/>
      <c r="N44" s="250" t="str">
        <f>IF(AND('Mapa final'!$H$46="Muy Baja",'Mapa final'!$L$46="Leve"),CONCATENATE("R",'Mapa final'!$A$46),"")</f>
        <v/>
      </c>
      <c r="O44" s="251"/>
      <c r="P44" s="249" t="str">
        <f>IF(AND('Mapa final'!$H$34="Muy Baja",'Mapa final'!$L$34="Menor"),CONCATENATE("R",'Mapa final'!$A$34),"")</f>
        <v/>
      </c>
      <c r="Q44" s="250"/>
      <c r="R44" s="250" t="str">
        <f>IF(AND('Mapa final'!$H$40="Muy Baja",'Mapa final'!$L$40="Menor"),CONCATENATE("R",'Mapa final'!$A$40),"")</f>
        <v/>
      </c>
      <c r="S44" s="250"/>
      <c r="T44" s="250" t="str">
        <f>IF(AND('Mapa final'!$H$46="Muy Baja",'Mapa final'!$L$46="Menor"),CONCATENATE("R",'Mapa final'!$A$46),"")</f>
        <v/>
      </c>
      <c r="U44" s="251"/>
      <c r="V44" s="258" t="str">
        <f>IF(AND('Mapa final'!$H$34="Muy Baja",'Mapa final'!$L$34="Moderado"),CONCATENATE("R",'Mapa final'!$A$34),"")</f>
        <v/>
      </c>
      <c r="W44" s="259"/>
      <c r="X44" s="259" t="str">
        <f>IF(AND('Mapa final'!$H$40="Muy Baja",'Mapa final'!$L$40="Moderado"),CONCATENATE("R",'Mapa final'!$A$40),"")</f>
        <v/>
      </c>
      <c r="Y44" s="259"/>
      <c r="Z44" s="259" t="str">
        <f>IF(AND('Mapa final'!$H$46="Muy Baja",'Mapa final'!$L$46="Moderado"),CONCATENATE("R",'Mapa final'!$A$46),"")</f>
        <v/>
      </c>
      <c r="AA44" s="260"/>
      <c r="AB44" s="276" t="str">
        <f>IF(AND('Mapa final'!$H$34="Muy Baja",'Mapa final'!$L$34="Mayor"),CONCATENATE("R",'Mapa final'!$A$34),"")</f>
        <v/>
      </c>
      <c r="AC44" s="277"/>
      <c r="AD44" s="277" t="str">
        <f>IF(AND('Mapa final'!$H$40="Muy Baja",'Mapa final'!$L$40="Mayor"),CONCATENATE("R",'Mapa final'!$A$40),"")</f>
        <v/>
      </c>
      <c r="AE44" s="277"/>
      <c r="AF44" s="277" t="str">
        <f>IF(AND('Mapa final'!$H$46="Muy Baja",'Mapa final'!$L$46="Mayor"),CONCATENATE("R",'Mapa final'!$A$46),"")</f>
        <v/>
      </c>
      <c r="AG44" s="278"/>
      <c r="AH44" s="267" t="str">
        <f>IF(AND('Mapa final'!$H$34="Muy Baja",'Mapa final'!$L$34="Catastrófico"),CONCATENATE("R",'Mapa final'!$A$34),"")</f>
        <v/>
      </c>
      <c r="AI44" s="268"/>
      <c r="AJ44" s="268" t="str">
        <f>IF(AND('Mapa final'!$H$40="Muy Baja",'Mapa final'!$L$40="Catastrófico"),CONCATENATE("R",'Mapa final'!$A$40),"")</f>
        <v/>
      </c>
      <c r="AK44" s="268"/>
      <c r="AL44" s="268" t="str">
        <f>IF(AND('Mapa final'!$H$46="Muy Baja",'Mapa final'!$L$46="Catastrófico"),CONCATENATE("R",'Mapa final'!$A$46),"")</f>
        <v/>
      </c>
      <c r="AM44" s="26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96"/>
      <c r="C45" s="296"/>
      <c r="D45" s="297"/>
      <c r="E45" s="292"/>
      <c r="F45" s="293"/>
      <c r="G45" s="293"/>
      <c r="H45" s="293"/>
      <c r="I45" s="294"/>
      <c r="J45" s="252"/>
      <c r="K45" s="253"/>
      <c r="L45" s="253"/>
      <c r="M45" s="253"/>
      <c r="N45" s="253"/>
      <c r="O45" s="254"/>
      <c r="P45" s="252"/>
      <c r="Q45" s="253"/>
      <c r="R45" s="253"/>
      <c r="S45" s="253"/>
      <c r="T45" s="253"/>
      <c r="U45" s="254"/>
      <c r="V45" s="261"/>
      <c r="W45" s="262"/>
      <c r="X45" s="262"/>
      <c r="Y45" s="262"/>
      <c r="Z45" s="262"/>
      <c r="AA45" s="263"/>
      <c r="AB45" s="279"/>
      <c r="AC45" s="280"/>
      <c r="AD45" s="280"/>
      <c r="AE45" s="280"/>
      <c r="AF45" s="280"/>
      <c r="AG45" s="281"/>
      <c r="AH45" s="270"/>
      <c r="AI45" s="271"/>
      <c r="AJ45" s="271"/>
      <c r="AK45" s="271"/>
      <c r="AL45" s="271"/>
      <c r="AM45" s="27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6" t="s">
        <v>112</v>
      </c>
      <c r="K46" s="287"/>
      <c r="L46" s="287"/>
      <c r="M46" s="287"/>
      <c r="N46" s="287"/>
      <c r="O46" s="288"/>
      <c r="P46" s="286" t="s">
        <v>111</v>
      </c>
      <c r="Q46" s="287"/>
      <c r="R46" s="287"/>
      <c r="S46" s="287"/>
      <c r="T46" s="287"/>
      <c r="U46" s="288"/>
      <c r="V46" s="286" t="s">
        <v>110</v>
      </c>
      <c r="W46" s="287"/>
      <c r="X46" s="287"/>
      <c r="Y46" s="287"/>
      <c r="Z46" s="287"/>
      <c r="AA46" s="288"/>
      <c r="AB46" s="286" t="s">
        <v>109</v>
      </c>
      <c r="AC46" s="295"/>
      <c r="AD46" s="287"/>
      <c r="AE46" s="287"/>
      <c r="AF46" s="287"/>
      <c r="AG46" s="288"/>
      <c r="AH46" s="286" t="s">
        <v>108</v>
      </c>
      <c r="AI46" s="287"/>
      <c r="AJ46" s="287"/>
      <c r="AK46" s="287"/>
      <c r="AL46" s="287"/>
      <c r="AM46" s="28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9"/>
      <c r="K47" s="290"/>
      <c r="L47" s="290"/>
      <c r="M47" s="290"/>
      <c r="N47" s="290"/>
      <c r="O47" s="291"/>
      <c r="P47" s="289"/>
      <c r="Q47" s="290"/>
      <c r="R47" s="290"/>
      <c r="S47" s="290"/>
      <c r="T47" s="290"/>
      <c r="U47" s="291"/>
      <c r="V47" s="289"/>
      <c r="W47" s="290"/>
      <c r="X47" s="290"/>
      <c r="Y47" s="290"/>
      <c r="Z47" s="290"/>
      <c r="AA47" s="291"/>
      <c r="AB47" s="289"/>
      <c r="AC47" s="290"/>
      <c r="AD47" s="290"/>
      <c r="AE47" s="290"/>
      <c r="AF47" s="290"/>
      <c r="AG47" s="291"/>
      <c r="AH47" s="289"/>
      <c r="AI47" s="290"/>
      <c r="AJ47" s="290"/>
      <c r="AK47" s="290"/>
      <c r="AL47" s="290"/>
      <c r="AM47" s="29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9"/>
      <c r="K48" s="290"/>
      <c r="L48" s="290"/>
      <c r="M48" s="290"/>
      <c r="N48" s="290"/>
      <c r="O48" s="291"/>
      <c r="P48" s="289"/>
      <c r="Q48" s="290"/>
      <c r="R48" s="290"/>
      <c r="S48" s="290"/>
      <c r="T48" s="290"/>
      <c r="U48" s="291"/>
      <c r="V48" s="289"/>
      <c r="W48" s="290"/>
      <c r="X48" s="290"/>
      <c r="Y48" s="290"/>
      <c r="Z48" s="290"/>
      <c r="AA48" s="291"/>
      <c r="AB48" s="289"/>
      <c r="AC48" s="290"/>
      <c r="AD48" s="290"/>
      <c r="AE48" s="290"/>
      <c r="AF48" s="290"/>
      <c r="AG48" s="291"/>
      <c r="AH48" s="289"/>
      <c r="AI48" s="290"/>
      <c r="AJ48" s="290"/>
      <c r="AK48" s="290"/>
      <c r="AL48" s="290"/>
      <c r="AM48" s="29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9"/>
      <c r="K49" s="290"/>
      <c r="L49" s="290"/>
      <c r="M49" s="290"/>
      <c r="N49" s="290"/>
      <c r="O49" s="291"/>
      <c r="P49" s="289"/>
      <c r="Q49" s="290"/>
      <c r="R49" s="290"/>
      <c r="S49" s="290"/>
      <c r="T49" s="290"/>
      <c r="U49" s="291"/>
      <c r="V49" s="289"/>
      <c r="W49" s="290"/>
      <c r="X49" s="290"/>
      <c r="Y49" s="290"/>
      <c r="Z49" s="290"/>
      <c r="AA49" s="291"/>
      <c r="AB49" s="289"/>
      <c r="AC49" s="290"/>
      <c r="AD49" s="290"/>
      <c r="AE49" s="290"/>
      <c r="AF49" s="290"/>
      <c r="AG49" s="291"/>
      <c r="AH49" s="289"/>
      <c r="AI49" s="290"/>
      <c r="AJ49" s="290"/>
      <c r="AK49" s="290"/>
      <c r="AL49" s="290"/>
      <c r="AM49" s="29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9"/>
      <c r="K50" s="290"/>
      <c r="L50" s="290"/>
      <c r="M50" s="290"/>
      <c r="N50" s="290"/>
      <c r="O50" s="291"/>
      <c r="P50" s="289"/>
      <c r="Q50" s="290"/>
      <c r="R50" s="290"/>
      <c r="S50" s="290"/>
      <c r="T50" s="290"/>
      <c r="U50" s="291"/>
      <c r="V50" s="289"/>
      <c r="W50" s="290"/>
      <c r="X50" s="290"/>
      <c r="Y50" s="290"/>
      <c r="Z50" s="290"/>
      <c r="AA50" s="291"/>
      <c r="AB50" s="289"/>
      <c r="AC50" s="290"/>
      <c r="AD50" s="290"/>
      <c r="AE50" s="290"/>
      <c r="AF50" s="290"/>
      <c r="AG50" s="291"/>
      <c r="AH50" s="289"/>
      <c r="AI50" s="290"/>
      <c r="AJ50" s="290"/>
      <c r="AK50" s="290"/>
      <c r="AL50" s="290"/>
      <c r="AM50" s="29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2"/>
      <c r="K51" s="293"/>
      <c r="L51" s="293"/>
      <c r="M51" s="293"/>
      <c r="N51" s="293"/>
      <c r="O51" s="294"/>
      <c r="P51" s="292"/>
      <c r="Q51" s="293"/>
      <c r="R51" s="293"/>
      <c r="S51" s="293"/>
      <c r="T51" s="293"/>
      <c r="U51" s="294"/>
      <c r="V51" s="292"/>
      <c r="W51" s="293"/>
      <c r="X51" s="293"/>
      <c r="Y51" s="293"/>
      <c r="Z51" s="293"/>
      <c r="AA51" s="294"/>
      <c r="AB51" s="292"/>
      <c r="AC51" s="293"/>
      <c r="AD51" s="293"/>
      <c r="AE51" s="293"/>
      <c r="AF51" s="293"/>
      <c r="AG51" s="294"/>
      <c r="AH51" s="292"/>
      <c r="AI51" s="293"/>
      <c r="AJ51" s="293"/>
      <c r="AK51" s="293"/>
      <c r="AL51" s="293"/>
      <c r="AM51" s="29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3" t="s">
        <v>160</v>
      </c>
      <c r="C2" s="364"/>
      <c r="D2" s="364"/>
      <c r="E2" s="364"/>
      <c r="F2" s="364"/>
      <c r="G2" s="364"/>
      <c r="H2" s="364"/>
      <c r="I2" s="364"/>
      <c r="J2" s="285" t="s">
        <v>2</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4"/>
      <c r="C3" s="364"/>
      <c r="D3" s="364"/>
      <c r="E3" s="364"/>
      <c r="F3" s="364"/>
      <c r="G3" s="364"/>
      <c r="H3" s="364"/>
      <c r="I3" s="364"/>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4"/>
      <c r="C4" s="364"/>
      <c r="D4" s="364"/>
      <c r="E4" s="364"/>
      <c r="F4" s="364"/>
      <c r="G4" s="364"/>
      <c r="H4" s="364"/>
      <c r="I4" s="364"/>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96" t="s">
        <v>4</v>
      </c>
      <c r="C6" s="296"/>
      <c r="D6" s="297"/>
      <c r="E6" s="334" t="s">
        <v>116</v>
      </c>
      <c r="F6" s="335"/>
      <c r="G6" s="335"/>
      <c r="H6" s="335"/>
      <c r="I6" s="336"/>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4" t="s">
        <v>79</v>
      </c>
      <c r="AP6" s="355"/>
      <c r="AQ6" s="355"/>
      <c r="AR6" s="355"/>
      <c r="AS6" s="355"/>
      <c r="AT6" s="35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96"/>
      <c r="C7" s="296"/>
      <c r="D7" s="297"/>
      <c r="E7" s="337"/>
      <c r="F7" s="338"/>
      <c r="G7" s="338"/>
      <c r="H7" s="338"/>
      <c r="I7" s="339"/>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57"/>
      <c r="AP7" s="358"/>
      <c r="AQ7" s="358"/>
      <c r="AR7" s="358"/>
      <c r="AS7" s="358"/>
      <c r="AT7" s="35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96"/>
      <c r="C8" s="296"/>
      <c r="D8" s="297"/>
      <c r="E8" s="337"/>
      <c r="F8" s="338"/>
      <c r="G8" s="338"/>
      <c r="H8" s="338"/>
      <c r="I8" s="339"/>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57"/>
      <c r="AP8" s="358"/>
      <c r="AQ8" s="358"/>
      <c r="AR8" s="358"/>
      <c r="AS8" s="358"/>
      <c r="AT8" s="35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96"/>
      <c r="C9" s="296"/>
      <c r="D9" s="297"/>
      <c r="E9" s="337"/>
      <c r="F9" s="338"/>
      <c r="G9" s="338"/>
      <c r="H9" s="338"/>
      <c r="I9" s="339"/>
      <c r="J9" s="52" t="str">
        <f>IF(AND('Mapa final'!$Y$13="Muy Alta",'Mapa final'!$AA$13="Leve"),CONCATENATE("R4C",'Mapa final'!$O$13),"")</f>
        <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str">
        <f>IF(AND('Mapa final'!$Y$13="Muy Alta",'Mapa final'!$AA$13="Menor"),CONCATENATE("R4C",'Mapa final'!$O$13),"")</f>
        <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str">
        <f>IF(AND('Mapa final'!$Y$13="Muy Alta",'Mapa final'!$AA$13="Moderado"),CONCATENATE("R4C",'Mapa final'!$O$13),"")</f>
        <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str">
        <f>IF(AND('Mapa final'!$Y$13="Muy Alta",'Mapa final'!$AA$13="Mayor"),CONCATENATE("R4C",'Mapa final'!$O$13),"")</f>
        <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str">
        <f>IF(AND('Mapa final'!$Y$13="Muy Alta",'Mapa final'!$AA$13="Catastrófico"),CONCATENATE("R4C",'Mapa final'!$O$13),"")</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57"/>
      <c r="AP9" s="358"/>
      <c r="AQ9" s="358"/>
      <c r="AR9" s="358"/>
      <c r="AS9" s="358"/>
      <c r="AT9" s="35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96"/>
      <c r="C10" s="296"/>
      <c r="D10" s="297"/>
      <c r="E10" s="337"/>
      <c r="F10" s="338"/>
      <c r="G10" s="338"/>
      <c r="H10" s="338"/>
      <c r="I10" s="339"/>
      <c r="J10" s="52" t="str">
        <f>IF(AND('Mapa final'!$Y$14="Muy Alta",'Mapa final'!$AA$14="Leve"),CONCATENATE("R5C",'Mapa final'!$O$14),"")</f>
        <v/>
      </c>
      <c r="K10" s="53" t="e">
        <f>IF(AND('Mapa final'!#REF!="Muy Alta",'Mapa final'!#REF!="Leve"),CONCATENATE("R5C",'Mapa final'!#REF!),"")</f>
        <v>#REF!</v>
      </c>
      <c r="L10" s="53" t="e">
        <f>IF(AND('Mapa final'!#REF!="Muy Alta",'Mapa final'!#REF!="Leve"),CONCATENATE("R5C",'Mapa final'!#REF!),"")</f>
        <v>#REF!</v>
      </c>
      <c r="M10" s="53" t="e">
        <f>IF(AND('Mapa final'!#REF!="Muy Alta",'Mapa final'!#REF!="Leve"),CONCATENATE("R5C",'Mapa final'!#REF!),"")</f>
        <v>#REF!</v>
      </c>
      <c r="N10" s="53" t="e">
        <f>IF(AND('Mapa final'!#REF!="Muy Alta",'Mapa final'!#REF!="Leve"),CONCATENATE("R5C",'Mapa final'!#REF!),"")</f>
        <v>#REF!</v>
      </c>
      <c r="O10" s="54" t="e">
        <f>IF(AND('Mapa final'!#REF!="Muy Alta",'Mapa final'!#REF!="Leve"),CONCATENATE("R5C",'Mapa final'!#REF!),"")</f>
        <v>#REF!</v>
      </c>
      <c r="P10" s="52" t="str">
        <f>IF(AND('Mapa final'!$Y$14="Muy Alta",'Mapa final'!$AA$14="Menor"),CONCATENATE("R5C",'Mapa final'!$O$14),"")</f>
        <v/>
      </c>
      <c r="Q10" s="53" t="e">
        <f>IF(AND('Mapa final'!#REF!="Muy Alta",'Mapa final'!#REF!="Menor"),CONCATENATE("R5C",'Mapa final'!#REF!),"")</f>
        <v>#REF!</v>
      </c>
      <c r="R10" s="53" t="e">
        <f>IF(AND('Mapa final'!#REF!="Muy Alta",'Mapa final'!#REF!="Menor"),CONCATENATE("R5C",'Mapa final'!#REF!),"")</f>
        <v>#REF!</v>
      </c>
      <c r="S10" s="53" t="e">
        <f>IF(AND('Mapa final'!#REF!="Muy Alta",'Mapa final'!#REF!="Menor"),CONCATENATE("R5C",'Mapa final'!#REF!),"")</f>
        <v>#REF!</v>
      </c>
      <c r="T10" s="53" t="e">
        <f>IF(AND('Mapa final'!#REF!="Muy Alta",'Mapa final'!#REF!="Menor"),CONCATENATE("R5C",'Mapa final'!#REF!),"")</f>
        <v>#REF!</v>
      </c>
      <c r="U10" s="54" t="e">
        <f>IF(AND('Mapa final'!#REF!="Muy Alta",'Mapa final'!#REF!="Menor"),CONCATENATE("R5C",'Mapa final'!#REF!),"")</f>
        <v>#REF!</v>
      </c>
      <c r="V10" s="52" t="str">
        <f>IF(AND('Mapa final'!$Y$14="Muy Alta",'Mapa final'!$AA$14="Moderado"),CONCATENATE("R5C",'Mapa final'!$O$14),"")</f>
        <v/>
      </c>
      <c r="W10" s="53" t="e">
        <f>IF(AND('Mapa final'!#REF!="Muy Alta",'Mapa final'!#REF!="Moderado"),CONCATENATE("R5C",'Mapa final'!#REF!),"")</f>
        <v>#REF!</v>
      </c>
      <c r="X10" s="53" t="e">
        <f>IF(AND('Mapa final'!#REF!="Muy Alta",'Mapa final'!#REF!="Moderado"),CONCATENATE("R5C",'Mapa final'!#REF!),"")</f>
        <v>#REF!</v>
      </c>
      <c r="Y10" s="53" t="e">
        <f>IF(AND('Mapa final'!#REF!="Muy Alta",'Mapa final'!#REF!="Moderado"),CONCATENATE("R5C",'Mapa final'!#REF!),"")</f>
        <v>#REF!</v>
      </c>
      <c r="Z10" s="53" t="e">
        <f>IF(AND('Mapa final'!#REF!="Muy Alta",'Mapa final'!#REF!="Moderado"),CONCATENATE("R5C",'Mapa final'!#REF!),"")</f>
        <v>#REF!</v>
      </c>
      <c r="AA10" s="54" t="e">
        <f>IF(AND('Mapa final'!#REF!="Muy Alta",'Mapa final'!#REF!="Moderado"),CONCATENATE("R5C",'Mapa final'!#REF!),"")</f>
        <v>#REF!</v>
      </c>
      <c r="AB10" s="52" t="str">
        <f>IF(AND('Mapa final'!$Y$14="Muy Alta",'Mapa final'!$AA$14="Mayor"),CONCATENATE("R5C",'Mapa final'!$O$14),"")</f>
        <v/>
      </c>
      <c r="AC10" s="53" t="e">
        <f>IF(AND('Mapa final'!#REF!="Muy Alta",'Mapa final'!#REF!="Mayor"),CONCATENATE("R5C",'Mapa final'!#REF!),"")</f>
        <v>#REF!</v>
      </c>
      <c r="AD10" s="53" t="e">
        <f>IF(AND('Mapa final'!#REF!="Muy Alta",'Mapa final'!#REF!="Mayor"),CONCATENATE("R5C",'Mapa final'!#REF!),"")</f>
        <v>#REF!</v>
      </c>
      <c r="AE10" s="53" t="e">
        <f>IF(AND('Mapa final'!#REF!="Muy Alta",'Mapa final'!#REF!="Mayor"),CONCATENATE("R5C",'Mapa final'!#REF!),"")</f>
        <v>#REF!</v>
      </c>
      <c r="AF10" s="53" t="e">
        <f>IF(AND('Mapa final'!#REF!="Muy Alta",'Mapa final'!#REF!="Mayor"),CONCATENATE("R5C",'Mapa final'!#REF!),"")</f>
        <v>#REF!</v>
      </c>
      <c r="AG10" s="54" t="e">
        <f>IF(AND('Mapa final'!#REF!="Muy Alta",'Mapa final'!#REF!="Mayor"),CONCATENATE("R5C",'Mapa final'!#REF!),"")</f>
        <v>#REF!</v>
      </c>
      <c r="AH10" s="55" t="str">
        <f>IF(AND('Mapa final'!$Y$14="Muy Alta",'Mapa final'!$AA$14="Catastrófico"),CONCATENATE("R5C",'Mapa final'!$O$14),"")</f>
        <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3"/>
      <c r="AO10" s="357"/>
      <c r="AP10" s="358"/>
      <c r="AQ10" s="358"/>
      <c r="AR10" s="358"/>
      <c r="AS10" s="358"/>
      <c r="AT10" s="35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96"/>
      <c r="C11" s="296"/>
      <c r="D11" s="297"/>
      <c r="E11" s="337"/>
      <c r="F11" s="338"/>
      <c r="G11" s="338"/>
      <c r="H11" s="338"/>
      <c r="I11" s="339"/>
      <c r="J11" s="52" t="str">
        <f>IF(AND('Mapa final'!$Y$15="Muy Alta",'Mapa final'!$AA$15="Leve"),CONCATENATE("R6C",'Mapa final'!$O$15),"")</f>
        <v/>
      </c>
      <c r="K11" s="53" t="e">
        <f>IF(AND('Mapa final'!#REF!="Muy Alta",'Mapa final'!#REF!="Leve"),CONCATENATE("R6C",'Mapa final'!#REF!),"")</f>
        <v>#REF!</v>
      </c>
      <c r="L11" s="53" t="e">
        <f>IF(AND('Mapa final'!#REF!="Muy Alta",'Mapa final'!#REF!="Leve"),CONCATENATE("R6C",'Mapa final'!#REF!),"")</f>
        <v>#REF!</v>
      </c>
      <c r="M11" s="53" t="e">
        <f>IF(AND('Mapa final'!#REF!="Muy Alta",'Mapa final'!#REF!="Leve"),CONCATENATE("R6C",'Mapa final'!#REF!),"")</f>
        <v>#REF!</v>
      </c>
      <c r="N11" s="53" t="e">
        <f>IF(AND('Mapa final'!#REF!="Muy Alta",'Mapa final'!#REF!="Leve"),CONCATENATE("R6C",'Mapa final'!#REF!),"")</f>
        <v>#REF!</v>
      </c>
      <c r="O11" s="54" t="e">
        <f>IF(AND('Mapa final'!#REF!="Muy Alta",'Mapa final'!#REF!="Leve"),CONCATENATE("R6C",'Mapa final'!#REF!),"")</f>
        <v>#REF!</v>
      </c>
      <c r="P11" s="52" t="str">
        <f>IF(AND('Mapa final'!$Y$15="Muy Alta",'Mapa final'!$AA$15="Menor"),CONCATENATE("R6C",'Mapa final'!$O$15),"")</f>
        <v/>
      </c>
      <c r="Q11" s="53" t="e">
        <f>IF(AND('Mapa final'!#REF!="Muy Alta",'Mapa final'!#REF!="Menor"),CONCATENATE("R6C",'Mapa final'!#REF!),"")</f>
        <v>#REF!</v>
      </c>
      <c r="R11" s="53" t="e">
        <f>IF(AND('Mapa final'!#REF!="Muy Alta",'Mapa final'!#REF!="Menor"),CONCATENATE("R6C",'Mapa final'!#REF!),"")</f>
        <v>#REF!</v>
      </c>
      <c r="S11" s="53" t="e">
        <f>IF(AND('Mapa final'!#REF!="Muy Alta",'Mapa final'!#REF!="Menor"),CONCATENATE("R6C",'Mapa final'!#REF!),"")</f>
        <v>#REF!</v>
      </c>
      <c r="T11" s="53" t="e">
        <f>IF(AND('Mapa final'!#REF!="Muy Alta",'Mapa final'!#REF!="Menor"),CONCATENATE("R6C",'Mapa final'!#REF!),"")</f>
        <v>#REF!</v>
      </c>
      <c r="U11" s="54" t="e">
        <f>IF(AND('Mapa final'!#REF!="Muy Alta",'Mapa final'!#REF!="Menor"),CONCATENATE("R6C",'Mapa final'!#REF!),"")</f>
        <v>#REF!</v>
      </c>
      <c r="V11" s="52" t="str">
        <f>IF(AND('Mapa final'!$Y$15="Muy Alta",'Mapa final'!$AA$15="Moderado"),CONCATENATE("R6C",'Mapa final'!$O$15),"")</f>
        <v/>
      </c>
      <c r="W11" s="53" t="e">
        <f>IF(AND('Mapa final'!#REF!="Muy Alta",'Mapa final'!#REF!="Moderado"),CONCATENATE("R6C",'Mapa final'!#REF!),"")</f>
        <v>#REF!</v>
      </c>
      <c r="X11" s="53" t="e">
        <f>IF(AND('Mapa final'!#REF!="Muy Alta",'Mapa final'!#REF!="Moderado"),CONCATENATE("R6C",'Mapa final'!#REF!),"")</f>
        <v>#REF!</v>
      </c>
      <c r="Y11" s="53" t="e">
        <f>IF(AND('Mapa final'!#REF!="Muy Alta",'Mapa final'!#REF!="Moderado"),CONCATENATE("R6C",'Mapa final'!#REF!),"")</f>
        <v>#REF!</v>
      </c>
      <c r="Z11" s="53" t="e">
        <f>IF(AND('Mapa final'!#REF!="Muy Alta",'Mapa final'!#REF!="Moderado"),CONCATENATE("R6C",'Mapa final'!#REF!),"")</f>
        <v>#REF!</v>
      </c>
      <c r="AA11" s="54" t="e">
        <f>IF(AND('Mapa final'!#REF!="Muy Alta",'Mapa final'!#REF!="Moderado"),CONCATENATE("R6C",'Mapa final'!#REF!),"")</f>
        <v>#REF!</v>
      </c>
      <c r="AB11" s="52" t="str">
        <f>IF(AND('Mapa final'!$Y$15="Muy Alta",'Mapa final'!$AA$15="Mayor"),CONCATENATE("R6C",'Mapa final'!$O$15),"")</f>
        <v/>
      </c>
      <c r="AC11" s="53" t="e">
        <f>IF(AND('Mapa final'!#REF!="Muy Alta",'Mapa final'!#REF!="Mayor"),CONCATENATE("R6C",'Mapa final'!#REF!),"")</f>
        <v>#REF!</v>
      </c>
      <c r="AD11" s="53" t="e">
        <f>IF(AND('Mapa final'!#REF!="Muy Alta",'Mapa final'!#REF!="Mayor"),CONCATENATE("R6C",'Mapa final'!#REF!),"")</f>
        <v>#REF!</v>
      </c>
      <c r="AE11" s="53" t="e">
        <f>IF(AND('Mapa final'!#REF!="Muy Alta",'Mapa final'!#REF!="Mayor"),CONCATENATE("R6C",'Mapa final'!#REF!),"")</f>
        <v>#REF!</v>
      </c>
      <c r="AF11" s="53" t="e">
        <f>IF(AND('Mapa final'!#REF!="Muy Alta",'Mapa final'!#REF!="Mayor"),CONCATENATE("R6C",'Mapa final'!#REF!),"")</f>
        <v>#REF!</v>
      </c>
      <c r="AG11" s="54" t="e">
        <f>IF(AND('Mapa final'!#REF!="Muy Alta",'Mapa final'!#REF!="Mayor"),CONCATENATE("R6C",'Mapa final'!#REF!),"")</f>
        <v>#REF!</v>
      </c>
      <c r="AH11" s="55" t="str">
        <f>IF(AND('Mapa final'!$Y$15="Muy Alta",'Mapa final'!$AA$15="Catastrófico"),CONCATENATE("R6C",'Mapa final'!$O$15),"")</f>
        <v/>
      </c>
      <c r="AI11" s="56" t="e">
        <f>IF(AND('Mapa final'!#REF!="Muy Alta",'Mapa final'!#REF!="Catastrófico"),CONCATENATE("R6C",'Mapa final'!#REF!),"")</f>
        <v>#REF!</v>
      </c>
      <c r="AJ11" s="56" t="e">
        <f>IF(AND('Mapa final'!#REF!="Muy Alta",'Mapa final'!#REF!="Catastrófico"),CONCATENATE("R6C",'Mapa final'!#REF!),"")</f>
        <v>#REF!</v>
      </c>
      <c r="AK11" s="56" t="e">
        <f>IF(AND('Mapa final'!#REF!="Muy Alta",'Mapa final'!#REF!="Catastrófico"),CONCATENATE("R6C",'Mapa final'!#REF!),"")</f>
        <v>#REF!</v>
      </c>
      <c r="AL11" s="56" t="e">
        <f>IF(AND('Mapa final'!#REF!="Muy Alta",'Mapa final'!#REF!="Catastrófico"),CONCATENATE("R6C",'Mapa final'!#REF!),"")</f>
        <v>#REF!</v>
      </c>
      <c r="AM11" s="57" t="e">
        <f>IF(AND('Mapa final'!#REF!="Muy Alta",'Mapa final'!#REF!="Catastrófico"),CONCATENATE("R6C",'Mapa final'!#REF!),"")</f>
        <v>#REF!</v>
      </c>
      <c r="AN11" s="83"/>
      <c r="AO11" s="357"/>
      <c r="AP11" s="358"/>
      <c r="AQ11" s="358"/>
      <c r="AR11" s="358"/>
      <c r="AS11" s="358"/>
      <c r="AT11" s="35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96"/>
      <c r="C12" s="296"/>
      <c r="D12" s="297"/>
      <c r="E12" s="337"/>
      <c r="F12" s="338"/>
      <c r="G12" s="338"/>
      <c r="H12" s="338"/>
      <c r="I12" s="339"/>
      <c r="J12" s="52" t="str">
        <f>IF(AND('Mapa final'!$Y$16="Muy Alta",'Mapa final'!$AA$16="Leve"),CONCATENATE("R7C",'Mapa final'!$O$16),"")</f>
        <v/>
      </c>
      <c r="K12" s="53" t="str">
        <f>IF(AND('Mapa final'!$Y$17="Muy Alta",'Mapa final'!$AA$17="Leve"),CONCATENATE("R7C",'Mapa final'!$O$17),"")</f>
        <v/>
      </c>
      <c r="L12" s="53" t="str">
        <f>IF(AND('Mapa final'!$Y$18="Muy Alta",'Mapa final'!$AA$18="Leve"),CONCATENATE("R7C",'Mapa final'!$O$18),"")</f>
        <v/>
      </c>
      <c r="M12" s="53" t="str">
        <f>IF(AND('Mapa final'!$Y$19="Muy Alta",'Mapa final'!$AA$19="Leve"),CONCATENATE("R7C",'Mapa final'!$O$19),"")</f>
        <v/>
      </c>
      <c r="N12" s="53" t="str">
        <f>IF(AND('Mapa final'!$Y$20="Muy Alta",'Mapa final'!$AA$20="Leve"),CONCATENATE("R7C",'Mapa final'!$O$20),"")</f>
        <v/>
      </c>
      <c r="O12" s="54" t="str">
        <f>IF(AND('Mapa final'!$Y$21="Muy Alta",'Mapa final'!$AA$21="Leve"),CONCATENATE("R7C",'Mapa final'!$O$21),"")</f>
        <v/>
      </c>
      <c r="P12" s="52" t="str">
        <f>IF(AND('Mapa final'!$Y$16="Muy Alta",'Mapa final'!$AA$16="Menor"),CONCATENATE("R7C",'Mapa final'!$O$16),"")</f>
        <v/>
      </c>
      <c r="Q12" s="53" t="str">
        <f>IF(AND('Mapa final'!$Y$17="Muy Alta",'Mapa final'!$AA$17="Menor"),CONCATENATE("R7C",'Mapa final'!$O$17),"")</f>
        <v/>
      </c>
      <c r="R12" s="53" t="str">
        <f>IF(AND('Mapa final'!$Y$18="Muy Alta",'Mapa final'!$AA$18="Menor"),CONCATENATE("R7C",'Mapa final'!$O$18),"")</f>
        <v/>
      </c>
      <c r="S12" s="53" t="str">
        <f>IF(AND('Mapa final'!$Y$19="Muy Alta",'Mapa final'!$AA$19="Menor"),CONCATENATE("R7C",'Mapa final'!$O$19),"")</f>
        <v/>
      </c>
      <c r="T12" s="53" t="str">
        <f>IF(AND('Mapa final'!$Y$20="Muy Alta",'Mapa final'!$AA$20="Menor"),CONCATENATE("R7C",'Mapa final'!$O$20),"")</f>
        <v/>
      </c>
      <c r="U12" s="54" t="str">
        <f>IF(AND('Mapa final'!$Y$21="Muy Alta",'Mapa final'!$AA$21="Menor"),CONCATENATE("R7C",'Mapa final'!$O$21),"")</f>
        <v/>
      </c>
      <c r="V12" s="52" t="str">
        <f>IF(AND('Mapa final'!$Y$16="Muy Alta",'Mapa final'!$AA$16="Moderado"),CONCATENATE("R7C",'Mapa final'!$O$16),"")</f>
        <v/>
      </c>
      <c r="W12" s="53" t="str">
        <f>IF(AND('Mapa final'!$Y$17="Muy Alta",'Mapa final'!$AA$17="Moderado"),CONCATENATE("R7C",'Mapa final'!$O$17),"")</f>
        <v/>
      </c>
      <c r="X12" s="53" t="str">
        <f>IF(AND('Mapa final'!$Y$18="Muy Alta",'Mapa final'!$AA$18="Moderado"),CONCATENATE("R7C",'Mapa final'!$O$18),"")</f>
        <v/>
      </c>
      <c r="Y12" s="53" t="str">
        <f>IF(AND('Mapa final'!$Y$19="Muy Alta",'Mapa final'!$AA$19="Moderado"),CONCATENATE("R7C",'Mapa final'!$O$19),"")</f>
        <v/>
      </c>
      <c r="Z12" s="53" t="str">
        <f>IF(AND('Mapa final'!$Y$20="Muy Alta",'Mapa final'!$AA$20="Moderado"),CONCATENATE("R7C",'Mapa final'!$O$20),"")</f>
        <v/>
      </c>
      <c r="AA12" s="54" t="str">
        <f>IF(AND('Mapa final'!$Y$21="Muy Alta",'Mapa final'!$AA$21="Moderado"),CONCATENATE("R7C",'Mapa final'!$O$21),"")</f>
        <v/>
      </c>
      <c r="AB12" s="52" t="str">
        <f>IF(AND('Mapa final'!$Y$16="Muy Alta",'Mapa final'!$AA$16="Mayor"),CONCATENATE("R7C",'Mapa final'!$O$16),"")</f>
        <v/>
      </c>
      <c r="AC12" s="53" t="str">
        <f>IF(AND('Mapa final'!$Y$17="Muy Alta",'Mapa final'!$AA$17="Mayor"),CONCATENATE("R7C",'Mapa final'!$O$17),"")</f>
        <v/>
      </c>
      <c r="AD12" s="53" t="str">
        <f>IF(AND('Mapa final'!$Y$18="Muy Alta",'Mapa final'!$AA$18="Mayor"),CONCATENATE("R7C",'Mapa final'!$O$18),"")</f>
        <v/>
      </c>
      <c r="AE12" s="53" t="str">
        <f>IF(AND('Mapa final'!$Y$19="Muy Alta",'Mapa final'!$AA$19="Mayor"),CONCATENATE("R7C",'Mapa final'!$O$19),"")</f>
        <v/>
      </c>
      <c r="AF12" s="53" t="str">
        <f>IF(AND('Mapa final'!$Y$20="Muy Alta",'Mapa final'!$AA$20="Mayor"),CONCATENATE("R7C",'Mapa final'!$O$20),"")</f>
        <v/>
      </c>
      <c r="AG12" s="54" t="str">
        <f>IF(AND('Mapa final'!$Y$21="Muy Alta",'Mapa final'!$AA$21="Mayor"),CONCATENATE("R7C",'Mapa final'!$O$21),"")</f>
        <v/>
      </c>
      <c r="AH12" s="55" t="str">
        <f>IF(AND('Mapa final'!$Y$16="Muy Alta",'Mapa final'!$AA$16="Catastrófico"),CONCATENATE("R7C",'Mapa final'!$O$16),"")</f>
        <v/>
      </c>
      <c r="AI12" s="56" t="str">
        <f>IF(AND('Mapa final'!$Y$17="Muy Alta",'Mapa final'!$AA$17="Catastrófico"),CONCATENATE("R7C",'Mapa final'!$O$17),"")</f>
        <v/>
      </c>
      <c r="AJ12" s="56" t="str">
        <f>IF(AND('Mapa final'!$Y$18="Muy Alta",'Mapa final'!$AA$18="Catastrófico"),CONCATENATE("R7C",'Mapa final'!$O$18),"")</f>
        <v/>
      </c>
      <c r="AK12" s="56" t="str">
        <f>IF(AND('Mapa final'!$Y$19="Muy Alta",'Mapa final'!$AA$19="Catastrófico"),CONCATENATE("R7C",'Mapa final'!$O$19),"")</f>
        <v/>
      </c>
      <c r="AL12" s="56" t="str">
        <f>IF(AND('Mapa final'!$Y$20="Muy Alta",'Mapa final'!$AA$20="Catastrófico"),CONCATENATE("R7C",'Mapa final'!$O$20),"")</f>
        <v/>
      </c>
      <c r="AM12" s="57" t="str">
        <f>IF(AND('Mapa final'!$Y$21="Muy Alta",'Mapa final'!$AA$21="Catastrófico"),CONCATENATE("R7C",'Mapa final'!$O$21),"")</f>
        <v/>
      </c>
      <c r="AN12" s="83"/>
      <c r="AO12" s="357"/>
      <c r="AP12" s="358"/>
      <c r="AQ12" s="358"/>
      <c r="AR12" s="358"/>
      <c r="AS12" s="358"/>
      <c r="AT12" s="35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96"/>
      <c r="C13" s="296"/>
      <c r="D13" s="297"/>
      <c r="E13" s="337"/>
      <c r="F13" s="338"/>
      <c r="G13" s="338"/>
      <c r="H13" s="338"/>
      <c r="I13" s="339"/>
      <c r="J13" s="52" t="str">
        <f>IF(AND('Mapa final'!$Y$22="Muy Alta",'Mapa final'!$AA$22="Leve"),CONCATENATE("R8C",'Mapa final'!$O$22),"")</f>
        <v/>
      </c>
      <c r="K13" s="53" t="str">
        <f>IF(AND('Mapa final'!$Y$23="Muy Alta",'Mapa final'!$AA$23="Leve"),CONCATENATE("R8C",'Mapa final'!$O$23),"")</f>
        <v/>
      </c>
      <c r="L13" s="53" t="str">
        <f>IF(AND('Mapa final'!$Y$24="Muy Alta",'Mapa final'!$AA$24="Leve"),CONCATENATE("R8C",'Mapa final'!$O$24),"")</f>
        <v/>
      </c>
      <c r="M13" s="53" t="str">
        <f>IF(AND('Mapa final'!$Y$25="Muy Alta",'Mapa final'!$AA$25="Leve"),CONCATENATE("R8C",'Mapa final'!$O$25),"")</f>
        <v/>
      </c>
      <c r="N13" s="53" t="str">
        <f>IF(AND('Mapa final'!$Y$26="Muy Alta",'Mapa final'!$AA$26="Leve"),CONCATENATE("R8C",'Mapa final'!$O$26),"")</f>
        <v/>
      </c>
      <c r="O13" s="54" t="str">
        <f>IF(AND('Mapa final'!$Y$27="Muy Alta",'Mapa final'!$AA$27="Leve"),CONCATENATE("R8C",'Mapa final'!$O$27),"")</f>
        <v/>
      </c>
      <c r="P13" s="52" t="str">
        <f>IF(AND('Mapa final'!$Y$22="Muy Alta",'Mapa final'!$AA$22="Menor"),CONCATENATE("R8C",'Mapa final'!$O$22),"")</f>
        <v/>
      </c>
      <c r="Q13" s="53" t="str">
        <f>IF(AND('Mapa final'!$Y$23="Muy Alta",'Mapa final'!$AA$23="Menor"),CONCATENATE("R8C",'Mapa final'!$O$23),"")</f>
        <v/>
      </c>
      <c r="R13" s="53" t="str">
        <f>IF(AND('Mapa final'!$Y$24="Muy Alta",'Mapa final'!$AA$24="Menor"),CONCATENATE("R8C",'Mapa final'!$O$24),"")</f>
        <v/>
      </c>
      <c r="S13" s="53" t="str">
        <f>IF(AND('Mapa final'!$Y$25="Muy Alta",'Mapa final'!$AA$25="Menor"),CONCATENATE("R8C",'Mapa final'!$O$25),"")</f>
        <v/>
      </c>
      <c r="T13" s="53" t="str">
        <f>IF(AND('Mapa final'!$Y$26="Muy Alta",'Mapa final'!$AA$26="Menor"),CONCATENATE("R8C",'Mapa final'!$O$26),"")</f>
        <v/>
      </c>
      <c r="U13" s="54" t="str">
        <f>IF(AND('Mapa final'!$Y$27="Muy Alta",'Mapa final'!$AA$27="Menor"),CONCATENATE("R8C",'Mapa final'!$O$27),"")</f>
        <v/>
      </c>
      <c r="V13" s="52" t="str">
        <f>IF(AND('Mapa final'!$Y$22="Muy Alta",'Mapa final'!$AA$22="Moderado"),CONCATENATE("R8C",'Mapa final'!$O$22),"")</f>
        <v/>
      </c>
      <c r="W13" s="53" t="str">
        <f>IF(AND('Mapa final'!$Y$23="Muy Alta",'Mapa final'!$AA$23="Moderado"),CONCATENATE("R8C",'Mapa final'!$O$23),"")</f>
        <v/>
      </c>
      <c r="X13" s="53" t="str">
        <f>IF(AND('Mapa final'!$Y$24="Muy Alta",'Mapa final'!$AA$24="Moderado"),CONCATENATE("R8C",'Mapa final'!$O$24),"")</f>
        <v/>
      </c>
      <c r="Y13" s="53" t="str">
        <f>IF(AND('Mapa final'!$Y$25="Muy Alta",'Mapa final'!$AA$25="Moderado"),CONCATENATE("R8C",'Mapa final'!$O$25),"")</f>
        <v/>
      </c>
      <c r="Z13" s="53" t="str">
        <f>IF(AND('Mapa final'!$Y$26="Muy Alta",'Mapa final'!$AA$26="Moderado"),CONCATENATE("R8C",'Mapa final'!$O$26),"")</f>
        <v/>
      </c>
      <c r="AA13" s="54" t="str">
        <f>IF(AND('Mapa final'!$Y$27="Muy Alta",'Mapa final'!$AA$27="Moderado"),CONCATENATE("R8C",'Mapa final'!$O$27),"")</f>
        <v/>
      </c>
      <c r="AB13" s="52" t="str">
        <f>IF(AND('Mapa final'!$Y$22="Muy Alta",'Mapa final'!$AA$22="Mayor"),CONCATENATE("R8C",'Mapa final'!$O$22),"")</f>
        <v/>
      </c>
      <c r="AC13" s="53" t="str">
        <f>IF(AND('Mapa final'!$Y$23="Muy Alta",'Mapa final'!$AA$23="Mayor"),CONCATENATE("R8C",'Mapa final'!$O$23),"")</f>
        <v/>
      </c>
      <c r="AD13" s="53" t="str">
        <f>IF(AND('Mapa final'!$Y$24="Muy Alta",'Mapa final'!$AA$24="Mayor"),CONCATENATE("R8C",'Mapa final'!$O$24),"")</f>
        <v/>
      </c>
      <c r="AE13" s="53" t="str">
        <f>IF(AND('Mapa final'!$Y$25="Muy Alta",'Mapa final'!$AA$25="Mayor"),CONCATENATE("R8C",'Mapa final'!$O$25),"")</f>
        <v/>
      </c>
      <c r="AF13" s="53" t="str">
        <f>IF(AND('Mapa final'!$Y$26="Muy Alta",'Mapa final'!$AA$26="Mayor"),CONCATENATE("R8C",'Mapa final'!$O$26),"")</f>
        <v/>
      </c>
      <c r="AG13" s="54" t="str">
        <f>IF(AND('Mapa final'!$Y$27="Muy Alta",'Mapa final'!$AA$27="Mayor"),CONCATENATE("R8C",'Mapa final'!$O$27),"")</f>
        <v/>
      </c>
      <c r="AH13" s="55" t="str">
        <f>IF(AND('Mapa final'!$Y$22="Muy Alta",'Mapa final'!$AA$22="Catastrófico"),CONCATENATE("R8C",'Mapa final'!$O$22),"")</f>
        <v/>
      </c>
      <c r="AI13" s="56" t="str">
        <f>IF(AND('Mapa final'!$Y$23="Muy Alta",'Mapa final'!$AA$23="Catastrófico"),CONCATENATE("R8C",'Mapa final'!$O$23),"")</f>
        <v/>
      </c>
      <c r="AJ13" s="56" t="str">
        <f>IF(AND('Mapa final'!$Y$24="Muy Alta",'Mapa final'!$AA$24="Catastrófico"),CONCATENATE("R8C",'Mapa final'!$O$24),"")</f>
        <v/>
      </c>
      <c r="AK13" s="56" t="str">
        <f>IF(AND('Mapa final'!$Y$25="Muy Alta",'Mapa final'!$AA$25="Catastrófico"),CONCATENATE("R8C",'Mapa final'!$O$25),"")</f>
        <v/>
      </c>
      <c r="AL13" s="56" t="str">
        <f>IF(AND('Mapa final'!$Y$26="Muy Alta",'Mapa final'!$AA$26="Catastrófico"),CONCATENATE("R8C",'Mapa final'!$O$26),"")</f>
        <v/>
      </c>
      <c r="AM13" s="57" t="str">
        <f>IF(AND('Mapa final'!$Y$27="Muy Alta",'Mapa final'!$AA$27="Catastrófico"),CONCATENATE("R8C",'Mapa final'!$O$27),"")</f>
        <v/>
      </c>
      <c r="AN13" s="83"/>
      <c r="AO13" s="357"/>
      <c r="AP13" s="358"/>
      <c r="AQ13" s="358"/>
      <c r="AR13" s="358"/>
      <c r="AS13" s="358"/>
      <c r="AT13" s="35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96"/>
      <c r="C14" s="296"/>
      <c r="D14" s="297"/>
      <c r="E14" s="337"/>
      <c r="F14" s="338"/>
      <c r="G14" s="338"/>
      <c r="H14" s="338"/>
      <c r="I14" s="339"/>
      <c r="J14" s="52" t="str">
        <f>IF(AND('Mapa final'!$Y$28="Muy Alta",'Mapa final'!$AA$28="Leve"),CONCATENATE("R9C",'Mapa final'!$O$28),"")</f>
        <v/>
      </c>
      <c r="K14" s="53" t="str">
        <f>IF(AND('Mapa final'!$Y$29="Muy Alta",'Mapa final'!$AA$29="Leve"),CONCATENATE("R9C",'Mapa final'!$O$29),"")</f>
        <v/>
      </c>
      <c r="L14" s="53" t="str">
        <f>IF(AND('Mapa final'!$Y$30="Muy Alta",'Mapa final'!$AA$30="Leve"),CONCATENATE("R9C",'Mapa final'!$O$30),"")</f>
        <v/>
      </c>
      <c r="M14" s="53" t="str">
        <f>IF(AND('Mapa final'!$Y$31="Muy Alta",'Mapa final'!$AA$31="Leve"),CONCATENATE("R9C",'Mapa final'!$O$31),"")</f>
        <v/>
      </c>
      <c r="N14" s="53" t="str">
        <f>IF(AND('Mapa final'!$Y$32="Muy Alta",'Mapa final'!$AA$32="Leve"),CONCATENATE("R9C",'Mapa final'!$O$32),"")</f>
        <v/>
      </c>
      <c r="O14" s="54" t="str">
        <f>IF(AND('Mapa final'!$Y$33="Muy Alta",'Mapa final'!$AA$33="Leve"),CONCATENATE("R9C",'Mapa final'!$O$33),"")</f>
        <v/>
      </c>
      <c r="P14" s="52" t="str">
        <f>IF(AND('Mapa final'!$Y$28="Muy Alta",'Mapa final'!$AA$28="Menor"),CONCATENATE("R9C",'Mapa final'!$O$28),"")</f>
        <v/>
      </c>
      <c r="Q14" s="53" t="str">
        <f>IF(AND('Mapa final'!$Y$29="Muy Alta",'Mapa final'!$AA$29="Menor"),CONCATENATE("R9C",'Mapa final'!$O$29),"")</f>
        <v/>
      </c>
      <c r="R14" s="53" t="str">
        <f>IF(AND('Mapa final'!$Y$30="Muy Alta",'Mapa final'!$AA$30="Menor"),CONCATENATE("R9C",'Mapa final'!$O$30),"")</f>
        <v/>
      </c>
      <c r="S14" s="53" t="str">
        <f>IF(AND('Mapa final'!$Y$31="Muy Alta",'Mapa final'!$AA$31="Menor"),CONCATENATE("R9C",'Mapa final'!$O$31),"")</f>
        <v/>
      </c>
      <c r="T14" s="53" t="str">
        <f>IF(AND('Mapa final'!$Y$32="Muy Alta",'Mapa final'!$AA$32="Menor"),CONCATENATE("R9C",'Mapa final'!$O$32),"")</f>
        <v/>
      </c>
      <c r="U14" s="54" t="str">
        <f>IF(AND('Mapa final'!$Y$33="Muy Alta",'Mapa final'!$AA$33="Menor"),CONCATENATE("R9C",'Mapa final'!$O$33),"")</f>
        <v/>
      </c>
      <c r="V14" s="52" t="str">
        <f>IF(AND('Mapa final'!$Y$28="Muy Alta",'Mapa final'!$AA$28="Moderado"),CONCATENATE("R9C",'Mapa final'!$O$28),"")</f>
        <v/>
      </c>
      <c r="W14" s="53" t="str">
        <f>IF(AND('Mapa final'!$Y$29="Muy Alta",'Mapa final'!$AA$29="Moderado"),CONCATENATE("R9C",'Mapa final'!$O$29),"")</f>
        <v/>
      </c>
      <c r="X14" s="53" t="str">
        <f>IF(AND('Mapa final'!$Y$30="Muy Alta",'Mapa final'!$AA$30="Moderado"),CONCATENATE("R9C",'Mapa final'!$O$30),"")</f>
        <v/>
      </c>
      <c r="Y14" s="53" t="str">
        <f>IF(AND('Mapa final'!$Y$31="Muy Alta",'Mapa final'!$AA$31="Moderado"),CONCATENATE("R9C",'Mapa final'!$O$31),"")</f>
        <v/>
      </c>
      <c r="Z14" s="53" t="str">
        <f>IF(AND('Mapa final'!$Y$32="Muy Alta",'Mapa final'!$AA$32="Moderado"),CONCATENATE("R9C",'Mapa final'!$O$32),"")</f>
        <v/>
      </c>
      <c r="AA14" s="54" t="str">
        <f>IF(AND('Mapa final'!$Y$33="Muy Alta",'Mapa final'!$AA$33="Moderado"),CONCATENATE("R9C",'Mapa final'!$O$33),"")</f>
        <v/>
      </c>
      <c r="AB14" s="52" t="str">
        <f>IF(AND('Mapa final'!$Y$28="Muy Alta",'Mapa final'!$AA$28="Mayor"),CONCATENATE("R9C",'Mapa final'!$O$28),"")</f>
        <v/>
      </c>
      <c r="AC14" s="53" t="str">
        <f>IF(AND('Mapa final'!$Y$29="Muy Alta",'Mapa final'!$AA$29="Mayor"),CONCATENATE("R9C",'Mapa final'!$O$29),"")</f>
        <v/>
      </c>
      <c r="AD14" s="53" t="str">
        <f>IF(AND('Mapa final'!$Y$30="Muy Alta",'Mapa final'!$AA$30="Mayor"),CONCATENATE("R9C",'Mapa final'!$O$30),"")</f>
        <v/>
      </c>
      <c r="AE14" s="53" t="str">
        <f>IF(AND('Mapa final'!$Y$31="Muy Alta",'Mapa final'!$AA$31="Mayor"),CONCATENATE("R9C",'Mapa final'!$O$31),"")</f>
        <v/>
      </c>
      <c r="AF14" s="53" t="str">
        <f>IF(AND('Mapa final'!$Y$32="Muy Alta",'Mapa final'!$AA$32="Mayor"),CONCATENATE("R9C",'Mapa final'!$O$32),"")</f>
        <v/>
      </c>
      <c r="AG14" s="54" t="str">
        <f>IF(AND('Mapa final'!$Y$33="Muy Alta",'Mapa final'!$AA$33="Mayor"),CONCATENATE("R9C",'Mapa final'!$O$33),"")</f>
        <v/>
      </c>
      <c r="AH14" s="55" t="str">
        <f>IF(AND('Mapa final'!$Y$28="Muy Alta",'Mapa final'!$AA$28="Catastrófico"),CONCATENATE("R9C",'Mapa final'!$O$28),"")</f>
        <v/>
      </c>
      <c r="AI14" s="56" t="str">
        <f>IF(AND('Mapa final'!$Y$29="Muy Alta",'Mapa final'!$AA$29="Catastrófico"),CONCATENATE("R9C",'Mapa final'!$O$29),"")</f>
        <v/>
      </c>
      <c r="AJ14" s="56" t="str">
        <f>IF(AND('Mapa final'!$Y$30="Muy Alta",'Mapa final'!$AA$30="Catastrófico"),CONCATENATE("R9C",'Mapa final'!$O$30),"")</f>
        <v/>
      </c>
      <c r="AK14" s="56" t="str">
        <f>IF(AND('Mapa final'!$Y$31="Muy Alta",'Mapa final'!$AA$31="Catastrófico"),CONCATENATE("R9C",'Mapa final'!$O$31),"")</f>
        <v/>
      </c>
      <c r="AL14" s="56" t="str">
        <f>IF(AND('Mapa final'!$Y$32="Muy Alta",'Mapa final'!$AA$32="Catastrófico"),CONCATENATE("R9C",'Mapa final'!$O$32),"")</f>
        <v/>
      </c>
      <c r="AM14" s="57" t="str">
        <f>IF(AND('Mapa final'!$Y$33="Muy Alta",'Mapa final'!$AA$33="Catastrófico"),CONCATENATE("R9C",'Mapa final'!$O$33),"")</f>
        <v/>
      </c>
      <c r="AN14" s="83"/>
      <c r="AO14" s="357"/>
      <c r="AP14" s="358"/>
      <c r="AQ14" s="358"/>
      <c r="AR14" s="358"/>
      <c r="AS14" s="358"/>
      <c r="AT14" s="35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96"/>
      <c r="C15" s="296"/>
      <c r="D15" s="297"/>
      <c r="E15" s="340"/>
      <c r="F15" s="341"/>
      <c r="G15" s="341"/>
      <c r="H15" s="341"/>
      <c r="I15" s="342"/>
      <c r="J15" s="58" t="str">
        <f>IF(AND('Mapa final'!$Y$34="Muy Alta",'Mapa final'!$AA$34="Leve"),CONCATENATE("R10C",'Mapa final'!$O$34),"")</f>
        <v/>
      </c>
      <c r="K15" s="59" t="str">
        <f>IF(AND('Mapa final'!$Y$35="Muy Alta",'Mapa final'!$AA$35="Leve"),CONCATENATE("R10C",'Mapa final'!$O$35),"")</f>
        <v/>
      </c>
      <c r="L15" s="59" t="str">
        <f>IF(AND('Mapa final'!$Y$36="Muy Alta",'Mapa final'!$AA$36="Leve"),CONCATENATE("R10C",'Mapa final'!$O$36),"")</f>
        <v/>
      </c>
      <c r="M15" s="59" t="str">
        <f>IF(AND('Mapa final'!$Y$37="Muy Alta",'Mapa final'!$AA$37="Leve"),CONCATENATE("R10C",'Mapa final'!$O$37),"")</f>
        <v/>
      </c>
      <c r="N15" s="59" t="str">
        <f>IF(AND('Mapa final'!$Y$38="Muy Alta",'Mapa final'!$AA$38="Leve"),CONCATENATE("R10C",'Mapa final'!$O$38),"")</f>
        <v/>
      </c>
      <c r="O15" s="60" t="str">
        <f>IF(AND('Mapa final'!$Y$39="Muy Alta",'Mapa final'!$AA$39="Leve"),CONCATENATE("R10C",'Mapa final'!$O$39),"")</f>
        <v/>
      </c>
      <c r="P15" s="52" t="str">
        <f>IF(AND('Mapa final'!$Y$34="Muy Alta",'Mapa final'!$AA$34="Menor"),CONCATENATE("R10C",'Mapa final'!$O$34),"")</f>
        <v/>
      </c>
      <c r="Q15" s="53" t="str">
        <f>IF(AND('Mapa final'!$Y$35="Muy Alta",'Mapa final'!$AA$35="Menor"),CONCATENATE("R10C",'Mapa final'!$O$35),"")</f>
        <v/>
      </c>
      <c r="R15" s="53" t="str">
        <f>IF(AND('Mapa final'!$Y$36="Muy Alta",'Mapa final'!$AA$36="Menor"),CONCATENATE("R10C",'Mapa final'!$O$36),"")</f>
        <v/>
      </c>
      <c r="S15" s="53" t="str">
        <f>IF(AND('Mapa final'!$Y$37="Muy Alta",'Mapa final'!$AA$37="Menor"),CONCATENATE("R10C",'Mapa final'!$O$37),"")</f>
        <v/>
      </c>
      <c r="T15" s="53" t="str">
        <f>IF(AND('Mapa final'!$Y$38="Muy Alta",'Mapa final'!$AA$38="Menor"),CONCATENATE("R10C",'Mapa final'!$O$38),"")</f>
        <v/>
      </c>
      <c r="U15" s="54" t="str">
        <f>IF(AND('Mapa final'!$Y$39="Muy Alta",'Mapa final'!$AA$39="Menor"),CONCATENATE("R10C",'Mapa final'!$O$39),"")</f>
        <v/>
      </c>
      <c r="V15" s="58" t="str">
        <f>IF(AND('Mapa final'!$Y$34="Muy Alta",'Mapa final'!$AA$34="Moderado"),CONCATENATE("R10C",'Mapa final'!$O$34),"")</f>
        <v/>
      </c>
      <c r="W15" s="59" t="str">
        <f>IF(AND('Mapa final'!$Y$35="Muy Alta",'Mapa final'!$AA$35="Moderado"),CONCATENATE("R10C",'Mapa final'!$O$35),"")</f>
        <v/>
      </c>
      <c r="X15" s="59" t="str">
        <f>IF(AND('Mapa final'!$Y$36="Muy Alta",'Mapa final'!$AA$36="Moderado"),CONCATENATE("R10C",'Mapa final'!$O$36),"")</f>
        <v/>
      </c>
      <c r="Y15" s="59" t="str">
        <f>IF(AND('Mapa final'!$Y$37="Muy Alta",'Mapa final'!$AA$37="Moderado"),CONCATENATE("R10C",'Mapa final'!$O$37),"")</f>
        <v/>
      </c>
      <c r="Z15" s="59" t="str">
        <f>IF(AND('Mapa final'!$Y$38="Muy Alta",'Mapa final'!$AA$38="Moderado"),CONCATENATE("R10C",'Mapa final'!$O$38),"")</f>
        <v/>
      </c>
      <c r="AA15" s="60" t="str">
        <f>IF(AND('Mapa final'!$Y$39="Muy Alta",'Mapa final'!$AA$39="Moderado"),CONCATENATE("R10C",'Mapa final'!$O$39),"")</f>
        <v/>
      </c>
      <c r="AB15" s="52" t="str">
        <f>IF(AND('Mapa final'!$Y$34="Muy Alta",'Mapa final'!$AA$34="Mayor"),CONCATENATE("R10C",'Mapa final'!$O$34),"")</f>
        <v/>
      </c>
      <c r="AC15" s="53" t="str">
        <f>IF(AND('Mapa final'!$Y$35="Muy Alta",'Mapa final'!$AA$35="Mayor"),CONCATENATE("R10C",'Mapa final'!$O$35),"")</f>
        <v/>
      </c>
      <c r="AD15" s="53" t="str">
        <f>IF(AND('Mapa final'!$Y$36="Muy Alta",'Mapa final'!$AA$36="Mayor"),CONCATENATE("R10C",'Mapa final'!$O$36),"")</f>
        <v/>
      </c>
      <c r="AE15" s="53" t="str">
        <f>IF(AND('Mapa final'!$Y$37="Muy Alta",'Mapa final'!$AA$37="Mayor"),CONCATENATE("R10C",'Mapa final'!$O$37),"")</f>
        <v/>
      </c>
      <c r="AF15" s="53" t="str">
        <f>IF(AND('Mapa final'!$Y$38="Muy Alta",'Mapa final'!$AA$38="Mayor"),CONCATENATE("R10C",'Mapa final'!$O$38),"")</f>
        <v/>
      </c>
      <c r="AG15" s="54" t="str">
        <f>IF(AND('Mapa final'!$Y$39="Muy Alta",'Mapa final'!$AA$39="Mayor"),CONCATENATE("R10C",'Mapa final'!$O$39),"")</f>
        <v/>
      </c>
      <c r="AH15" s="61" t="str">
        <f>IF(AND('Mapa final'!$Y$34="Muy Alta",'Mapa final'!$AA$34="Catastrófico"),CONCATENATE("R10C",'Mapa final'!$O$34),"")</f>
        <v/>
      </c>
      <c r="AI15" s="62" t="str">
        <f>IF(AND('Mapa final'!$Y$35="Muy Alta",'Mapa final'!$AA$35="Catastrófico"),CONCATENATE("R10C",'Mapa final'!$O$35),"")</f>
        <v/>
      </c>
      <c r="AJ15" s="62" t="str">
        <f>IF(AND('Mapa final'!$Y$36="Muy Alta",'Mapa final'!$AA$36="Catastrófico"),CONCATENATE("R10C",'Mapa final'!$O$36),"")</f>
        <v/>
      </c>
      <c r="AK15" s="62" t="str">
        <f>IF(AND('Mapa final'!$Y$37="Muy Alta",'Mapa final'!$AA$37="Catastrófico"),CONCATENATE("R10C",'Mapa final'!$O$37),"")</f>
        <v/>
      </c>
      <c r="AL15" s="62" t="str">
        <f>IF(AND('Mapa final'!$Y$38="Muy Alta",'Mapa final'!$AA$38="Catastrófico"),CONCATENATE("R10C",'Mapa final'!$O$38),"")</f>
        <v/>
      </c>
      <c r="AM15" s="63" t="str">
        <f>IF(AND('Mapa final'!$Y$39="Muy Alta",'Mapa final'!$AA$39="Catastrófico"),CONCATENATE("R10C",'Mapa final'!$O$39),"")</f>
        <v/>
      </c>
      <c r="AN15" s="83"/>
      <c r="AO15" s="360"/>
      <c r="AP15" s="361"/>
      <c r="AQ15" s="361"/>
      <c r="AR15" s="361"/>
      <c r="AS15" s="361"/>
      <c r="AT15" s="36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96"/>
      <c r="C16" s="296"/>
      <c r="D16" s="297"/>
      <c r="E16" s="334" t="s">
        <v>115</v>
      </c>
      <c r="F16" s="335"/>
      <c r="G16" s="335"/>
      <c r="H16" s="335"/>
      <c r="I16" s="335"/>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44" t="s">
        <v>80</v>
      </c>
      <c r="AP16" s="345"/>
      <c r="AQ16" s="345"/>
      <c r="AR16" s="345"/>
      <c r="AS16" s="345"/>
      <c r="AT16" s="34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96"/>
      <c r="C17" s="296"/>
      <c r="D17" s="297"/>
      <c r="E17" s="353"/>
      <c r="F17" s="338"/>
      <c r="G17" s="338"/>
      <c r="H17" s="338"/>
      <c r="I17" s="338"/>
      <c r="J17" s="67" t="str">
        <f>IF(AND('Mapa final'!$Y$11="Alta",'Mapa final'!$AA$11="Leve"),CONCATENATE("R2C",'Mapa final'!$O$11),"")</f>
        <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IF(AND('Mapa final'!$Y$11="Alta",'Mapa final'!$AA$11="Menor"),CONCATENATE("R2C",'Mapa final'!$O$11),"")</f>
        <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47"/>
      <c r="AP17" s="348"/>
      <c r="AQ17" s="348"/>
      <c r="AR17" s="348"/>
      <c r="AS17" s="348"/>
      <c r="AT17" s="34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96"/>
      <c r="C18" s="296"/>
      <c r="D18" s="297"/>
      <c r="E18" s="337"/>
      <c r="F18" s="338"/>
      <c r="G18" s="338"/>
      <c r="H18" s="338"/>
      <c r="I18" s="338"/>
      <c r="J18" s="67" t="str">
        <f>IF(AND('Mapa final'!$Y$12="Alta",'Mapa final'!$AA$12="Leve"),CONCATENATE("R3C",'Mapa final'!$O$12),"")</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final'!$Y$12="Alta",'Mapa final'!$AA$12="Menor"),CONCATENATE("R3C",'Mapa final'!$O$12),"")</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47"/>
      <c r="AP18" s="348"/>
      <c r="AQ18" s="348"/>
      <c r="AR18" s="348"/>
      <c r="AS18" s="348"/>
      <c r="AT18" s="34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96"/>
      <c r="C19" s="296"/>
      <c r="D19" s="297"/>
      <c r="E19" s="337"/>
      <c r="F19" s="338"/>
      <c r="G19" s="338"/>
      <c r="H19" s="338"/>
      <c r="I19" s="338"/>
      <c r="J19" s="67" t="str">
        <f>IF(AND('Mapa final'!$Y$13="Alta",'Mapa final'!$AA$13="Leve"),CONCATENATE("R4C",'Mapa final'!$O$13),"")</f>
        <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str">
        <f>IF(AND('Mapa final'!$Y$13="Alta",'Mapa final'!$AA$13="Menor"),CONCATENATE("R4C",'Mapa final'!$O$13),"")</f>
        <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str">
        <f>IF(AND('Mapa final'!$Y$13="Alta",'Mapa final'!$AA$13="Moderado"),CONCATENATE("R4C",'Mapa final'!$O$13),"")</f>
        <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str">
        <f>IF(AND('Mapa final'!$Y$13="Alta",'Mapa final'!$AA$13="Mayor"),CONCATENATE("R4C",'Mapa final'!$O$13),"")</f>
        <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str">
        <f>IF(AND('Mapa final'!$Y$13="Alta",'Mapa final'!$AA$13="Catastrófico"),CONCATENATE("R4C",'Mapa final'!$O$13),"")</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47"/>
      <c r="AP19" s="348"/>
      <c r="AQ19" s="348"/>
      <c r="AR19" s="348"/>
      <c r="AS19" s="348"/>
      <c r="AT19" s="34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96"/>
      <c r="C20" s="296"/>
      <c r="D20" s="297"/>
      <c r="E20" s="337"/>
      <c r="F20" s="338"/>
      <c r="G20" s="338"/>
      <c r="H20" s="338"/>
      <c r="I20" s="338"/>
      <c r="J20" s="67" t="str">
        <f>IF(AND('Mapa final'!$Y$14="Alta",'Mapa final'!$AA$14="Leve"),CONCATENATE("R5C",'Mapa final'!$O$14),"")</f>
        <v/>
      </c>
      <c r="K20" s="68" t="e">
        <f>IF(AND('Mapa final'!#REF!="Alta",'Mapa final'!#REF!="Leve"),CONCATENATE("R5C",'Mapa final'!#REF!),"")</f>
        <v>#REF!</v>
      </c>
      <c r="L20" s="68" t="e">
        <f>IF(AND('Mapa final'!#REF!="Alta",'Mapa final'!#REF!="Leve"),CONCATENATE("R5C",'Mapa final'!#REF!),"")</f>
        <v>#REF!</v>
      </c>
      <c r="M20" s="68" t="e">
        <f>IF(AND('Mapa final'!#REF!="Alta",'Mapa final'!#REF!="Leve"),CONCATENATE("R5C",'Mapa final'!#REF!),"")</f>
        <v>#REF!</v>
      </c>
      <c r="N20" s="68" t="e">
        <f>IF(AND('Mapa final'!#REF!="Alta",'Mapa final'!#REF!="Leve"),CONCATENATE("R5C",'Mapa final'!#REF!),"")</f>
        <v>#REF!</v>
      </c>
      <c r="O20" s="69" t="e">
        <f>IF(AND('Mapa final'!#REF!="Alta",'Mapa final'!#REF!="Leve"),CONCATENATE("R5C",'Mapa final'!#REF!),"")</f>
        <v>#REF!</v>
      </c>
      <c r="P20" s="67" t="str">
        <f>IF(AND('Mapa final'!$Y$14="Alta",'Mapa final'!$AA$14="Menor"),CONCATENATE("R5C",'Mapa final'!$O$14),"")</f>
        <v/>
      </c>
      <c r="Q20" s="68" t="e">
        <f>IF(AND('Mapa final'!#REF!="Alta",'Mapa final'!#REF!="Menor"),CONCATENATE("R5C",'Mapa final'!#REF!),"")</f>
        <v>#REF!</v>
      </c>
      <c r="R20" s="68" t="e">
        <f>IF(AND('Mapa final'!#REF!="Alta",'Mapa final'!#REF!="Menor"),CONCATENATE("R5C",'Mapa final'!#REF!),"")</f>
        <v>#REF!</v>
      </c>
      <c r="S20" s="68" t="e">
        <f>IF(AND('Mapa final'!#REF!="Alta",'Mapa final'!#REF!="Menor"),CONCATENATE("R5C",'Mapa final'!#REF!),"")</f>
        <v>#REF!</v>
      </c>
      <c r="T20" s="68" t="e">
        <f>IF(AND('Mapa final'!#REF!="Alta",'Mapa final'!#REF!="Menor"),CONCATENATE("R5C",'Mapa final'!#REF!),"")</f>
        <v>#REF!</v>
      </c>
      <c r="U20" s="69" t="e">
        <f>IF(AND('Mapa final'!#REF!="Alta",'Mapa final'!#REF!="Menor"),CONCATENATE("R5C",'Mapa final'!#REF!),"")</f>
        <v>#REF!</v>
      </c>
      <c r="V20" s="52" t="str">
        <f>IF(AND('Mapa final'!$Y$14="Alta",'Mapa final'!$AA$14="Moderado"),CONCATENATE("R5C",'Mapa final'!$O$14),"")</f>
        <v/>
      </c>
      <c r="W20" s="53" t="e">
        <f>IF(AND('Mapa final'!#REF!="Alta",'Mapa final'!#REF!="Moderado"),CONCATENATE("R5C",'Mapa final'!#REF!),"")</f>
        <v>#REF!</v>
      </c>
      <c r="X20" s="53" t="e">
        <f>IF(AND('Mapa final'!#REF!="Alta",'Mapa final'!#REF!="Moderado"),CONCATENATE("R5C",'Mapa final'!#REF!),"")</f>
        <v>#REF!</v>
      </c>
      <c r="Y20" s="53" t="e">
        <f>IF(AND('Mapa final'!#REF!="Alta",'Mapa final'!#REF!="Moderado"),CONCATENATE("R5C",'Mapa final'!#REF!),"")</f>
        <v>#REF!</v>
      </c>
      <c r="Z20" s="53" t="e">
        <f>IF(AND('Mapa final'!#REF!="Alta",'Mapa final'!#REF!="Moderado"),CONCATENATE("R5C",'Mapa final'!#REF!),"")</f>
        <v>#REF!</v>
      </c>
      <c r="AA20" s="54" t="e">
        <f>IF(AND('Mapa final'!#REF!="Alta",'Mapa final'!#REF!="Moderado"),CONCATENATE("R5C",'Mapa final'!#REF!),"")</f>
        <v>#REF!</v>
      </c>
      <c r="AB20" s="52" t="str">
        <f>IF(AND('Mapa final'!$Y$14="Alta",'Mapa final'!$AA$14="Mayor"),CONCATENATE("R5C",'Mapa final'!$O$14),"")</f>
        <v/>
      </c>
      <c r="AC20" s="53" t="e">
        <f>IF(AND('Mapa final'!#REF!="Alta",'Mapa final'!#REF!="Mayor"),CONCATENATE("R5C",'Mapa final'!#REF!),"")</f>
        <v>#REF!</v>
      </c>
      <c r="AD20" s="53" t="e">
        <f>IF(AND('Mapa final'!#REF!="Alta",'Mapa final'!#REF!="Mayor"),CONCATENATE("R5C",'Mapa final'!#REF!),"")</f>
        <v>#REF!</v>
      </c>
      <c r="AE20" s="53" t="e">
        <f>IF(AND('Mapa final'!#REF!="Alta",'Mapa final'!#REF!="Mayor"),CONCATENATE("R5C",'Mapa final'!#REF!),"")</f>
        <v>#REF!</v>
      </c>
      <c r="AF20" s="53" t="e">
        <f>IF(AND('Mapa final'!#REF!="Alta",'Mapa final'!#REF!="Mayor"),CONCATENATE("R5C",'Mapa final'!#REF!),"")</f>
        <v>#REF!</v>
      </c>
      <c r="AG20" s="54" t="e">
        <f>IF(AND('Mapa final'!#REF!="Alta",'Mapa final'!#REF!="Mayor"),CONCATENATE("R5C",'Mapa final'!#REF!),"")</f>
        <v>#REF!</v>
      </c>
      <c r="AH20" s="55" t="str">
        <f>IF(AND('Mapa final'!$Y$14="Alta",'Mapa final'!$AA$14="Catastrófico"),CONCATENATE("R5C",'Mapa final'!$O$14),"")</f>
        <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3"/>
      <c r="AO20" s="347"/>
      <c r="AP20" s="348"/>
      <c r="AQ20" s="348"/>
      <c r="AR20" s="348"/>
      <c r="AS20" s="348"/>
      <c r="AT20" s="34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96"/>
      <c r="C21" s="296"/>
      <c r="D21" s="297"/>
      <c r="E21" s="337"/>
      <c r="F21" s="338"/>
      <c r="G21" s="338"/>
      <c r="H21" s="338"/>
      <c r="I21" s="338"/>
      <c r="J21" s="67" t="str">
        <f>IF(AND('Mapa final'!$Y$15="Alta",'Mapa final'!$AA$15="Leve"),CONCATENATE("R6C",'Mapa final'!$O$15),"")</f>
        <v/>
      </c>
      <c r="K21" s="68" t="e">
        <f>IF(AND('Mapa final'!#REF!="Alta",'Mapa final'!#REF!="Leve"),CONCATENATE("R6C",'Mapa final'!#REF!),"")</f>
        <v>#REF!</v>
      </c>
      <c r="L21" s="68" t="e">
        <f>IF(AND('Mapa final'!#REF!="Alta",'Mapa final'!#REF!="Leve"),CONCATENATE("R6C",'Mapa final'!#REF!),"")</f>
        <v>#REF!</v>
      </c>
      <c r="M21" s="68" t="e">
        <f>IF(AND('Mapa final'!#REF!="Alta",'Mapa final'!#REF!="Leve"),CONCATENATE("R6C",'Mapa final'!#REF!),"")</f>
        <v>#REF!</v>
      </c>
      <c r="N21" s="68" t="e">
        <f>IF(AND('Mapa final'!#REF!="Alta",'Mapa final'!#REF!="Leve"),CONCATENATE("R6C",'Mapa final'!#REF!),"")</f>
        <v>#REF!</v>
      </c>
      <c r="O21" s="69" t="e">
        <f>IF(AND('Mapa final'!#REF!="Alta",'Mapa final'!#REF!="Leve"),CONCATENATE("R6C",'Mapa final'!#REF!),"")</f>
        <v>#REF!</v>
      </c>
      <c r="P21" s="67" t="str">
        <f>IF(AND('Mapa final'!$Y$15="Alta",'Mapa final'!$AA$15="Menor"),CONCATENATE("R6C",'Mapa final'!$O$15),"")</f>
        <v/>
      </c>
      <c r="Q21" s="68" t="e">
        <f>IF(AND('Mapa final'!#REF!="Alta",'Mapa final'!#REF!="Menor"),CONCATENATE("R6C",'Mapa final'!#REF!),"")</f>
        <v>#REF!</v>
      </c>
      <c r="R21" s="68" t="e">
        <f>IF(AND('Mapa final'!#REF!="Alta",'Mapa final'!#REF!="Menor"),CONCATENATE("R6C",'Mapa final'!#REF!),"")</f>
        <v>#REF!</v>
      </c>
      <c r="S21" s="68" t="e">
        <f>IF(AND('Mapa final'!#REF!="Alta",'Mapa final'!#REF!="Menor"),CONCATENATE("R6C",'Mapa final'!#REF!),"")</f>
        <v>#REF!</v>
      </c>
      <c r="T21" s="68" t="e">
        <f>IF(AND('Mapa final'!#REF!="Alta",'Mapa final'!#REF!="Menor"),CONCATENATE("R6C",'Mapa final'!#REF!),"")</f>
        <v>#REF!</v>
      </c>
      <c r="U21" s="69" t="e">
        <f>IF(AND('Mapa final'!#REF!="Alta",'Mapa final'!#REF!="Menor"),CONCATENATE("R6C",'Mapa final'!#REF!),"")</f>
        <v>#REF!</v>
      </c>
      <c r="V21" s="52" t="str">
        <f>IF(AND('Mapa final'!$Y$15="Alta",'Mapa final'!$AA$15="Moderado"),CONCATENATE("R6C",'Mapa final'!$O$15),"")</f>
        <v/>
      </c>
      <c r="W21" s="53" t="e">
        <f>IF(AND('Mapa final'!#REF!="Alta",'Mapa final'!#REF!="Moderado"),CONCATENATE("R6C",'Mapa final'!#REF!),"")</f>
        <v>#REF!</v>
      </c>
      <c r="X21" s="53" t="e">
        <f>IF(AND('Mapa final'!#REF!="Alta",'Mapa final'!#REF!="Moderado"),CONCATENATE("R6C",'Mapa final'!#REF!),"")</f>
        <v>#REF!</v>
      </c>
      <c r="Y21" s="53" t="e">
        <f>IF(AND('Mapa final'!#REF!="Alta",'Mapa final'!#REF!="Moderado"),CONCATENATE("R6C",'Mapa final'!#REF!),"")</f>
        <v>#REF!</v>
      </c>
      <c r="Z21" s="53" t="e">
        <f>IF(AND('Mapa final'!#REF!="Alta",'Mapa final'!#REF!="Moderado"),CONCATENATE("R6C",'Mapa final'!#REF!),"")</f>
        <v>#REF!</v>
      </c>
      <c r="AA21" s="54" t="e">
        <f>IF(AND('Mapa final'!#REF!="Alta",'Mapa final'!#REF!="Moderado"),CONCATENATE("R6C",'Mapa final'!#REF!),"")</f>
        <v>#REF!</v>
      </c>
      <c r="AB21" s="52" t="str">
        <f>IF(AND('Mapa final'!$Y$15="Alta",'Mapa final'!$AA$15="Mayor"),CONCATENATE("R6C",'Mapa final'!$O$15),"")</f>
        <v/>
      </c>
      <c r="AC21" s="53" t="e">
        <f>IF(AND('Mapa final'!#REF!="Alta",'Mapa final'!#REF!="Mayor"),CONCATENATE("R6C",'Mapa final'!#REF!),"")</f>
        <v>#REF!</v>
      </c>
      <c r="AD21" s="53" t="e">
        <f>IF(AND('Mapa final'!#REF!="Alta",'Mapa final'!#REF!="Mayor"),CONCATENATE("R6C",'Mapa final'!#REF!),"")</f>
        <v>#REF!</v>
      </c>
      <c r="AE21" s="53" t="e">
        <f>IF(AND('Mapa final'!#REF!="Alta",'Mapa final'!#REF!="Mayor"),CONCATENATE("R6C",'Mapa final'!#REF!),"")</f>
        <v>#REF!</v>
      </c>
      <c r="AF21" s="53" t="e">
        <f>IF(AND('Mapa final'!#REF!="Alta",'Mapa final'!#REF!="Mayor"),CONCATENATE("R6C",'Mapa final'!#REF!),"")</f>
        <v>#REF!</v>
      </c>
      <c r="AG21" s="54" t="e">
        <f>IF(AND('Mapa final'!#REF!="Alta",'Mapa final'!#REF!="Mayor"),CONCATENATE("R6C",'Mapa final'!#REF!),"")</f>
        <v>#REF!</v>
      </c>
      <c r="AH21" s="55" t="str">
        <f>IF(AND('Mapa final'!$Y$15="Alta",'Mapa final'!$AA$15="Catastrófico"),CONCATENATE("R6C",'Mapa final'!$O$15),"")</f>
        <v/>
      </c>
      <c r="AI21" s="56" t="e">
        <f>IF(AND('Mapa final'!#REF!="Alta",'Mapa final'!#REF!="Catastrófico"),CONCATENATE("R6C",'Mapa final'!#REF!),"")</f>
        <v>#REF!</v>
      </c>
      <c r="AJ21" s="56" t="e">
        <f>IF(AND('Mapa final'!#REF!="Alta",'Mapa final'!#REF!="Catastrófico"),CONCATENATE("R6C",'Mapa final'!#REF!),"")</f>
        <v>#REF!</v>
      </c>
      <c r="AK21" s="56" t="e">
        <f>IF(AND('Mapa final'!#REF!="Alta",'Mapa final'!#REF!="Catastrófico"),CONCATENATE("R6C",'Mapa final'!#REF!),"")</f>
        <v>#REF!</v>
      </c>
      <c r="AL21" s="56" t="e">
        <f>IF(AND('Mapa final'!#REF!="Alta",'Mapa final'!#REF!="Catastrófico"),CONCATENATE("R6C",'Mapa final'!#REF!),"")</f>
        <v>#REF!</v>
      </c>
      <c r="AM21" s="57" t="e">
        <f>IF(AND('Mapa final'!#REF!="Alta",'Mapa final'!#REF!="Catastrófico"),CONCATENATE("R6C",'Mapa final'!#REF!),"")</f>
        <v>#REF!</v>
      </c>
      <c r="AN21" s="83"/>
      <c r="AO21" s="347"/>
      <c r="AP21" s="348"/>
      <c r="AQ21" s="348"/>
      <c r="AR21" s="348"/>
      <c r="AS21" s="348"/>
      <c r="AT21" s="34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96"/>
      <c r="C22" s="296"/>
      <c r="D22" s="297"/>
      <c r="E22" s="337"/>
      <c r="F22" s="338"/>
      <c r="G22" s="338"/>
      <c r="H22" s="338"/>
      <c r="I22" s="338"/>
      <c r="J22" s="67" t="str">
        <f>IF(AND('Mapa final'!$Y$16="Alta",'Mapa final'!$AA$16="Leve"),CONCATENATE("R7C",'Mapa final'!$O$16),"")</f>
        <v/>
      </c>
      <c r="K22" s="68" t="str">
        <f>IF(AND('Mapa final'!$Y$17="Alta",'Mapa final'!$AA$17="Leve"),CONCATENATE("R7C",'Mapa final'!$O$17),"")</f>
        <v/>
      </c>
      <c r="L22" s="68" t="str">
        <f>IF(AND('Mapa final'!$Y$18="Alta",'Mapa final'!$AA$18="Leve"),CONCATENATE("R7C",'Mapa final'!$O$18),"")</f>
        <v/>
      </c>
      <c r="M22" s="68" t="str">
        <f>IF(AND('Mapa final'!$Y$19="Alta",'Mapa final'!$AA$19="Leve"),CONCATENATE("R7C",'Mapa final'!$O$19),"")</f>
        <v/>
      </c>
      <c r="N22" s="68" t="str">
        <f>IF(AND('Mapa final'!$Y$20="Alta",'Mapa final'!$AA$20="Leve"),CONCATENATE("R7C",'Mapa final'!$O$20),"")</f>
        <v/>
      </c>
      <c r="O22" s="69" t="str">
        <f>IF(AND('Mapa final'!$Y$21="Alta",'Mapa final'!$AA$21="Leve"),CONCATENATE("R7C",'Mapa final'!$O$21),"")</f>
        <v/>
      </c>
      <c r="P22" s="67" t="str">
        <f>IF(AND('Mapa final'!$Y$16="Alta",'Mapa final'!$AA$16="Menor"),CONCATENATE("R7C",'Mapa final'!$O$16),"")</f>
        <v/>
      </c>
      <c r="Q22" s="68" t="str">
        <f>IF(AND('Mapa final'!$Y$17="Alta",'Mapa final'!$AA$17="Menor"),CONCATENATE("R7C",'Mapa final'!$O$17),"")</f>
        <v/>
      </c>
      <c r="R22" s="68" t="str">
        <f>IF(AND('Mapa final'!$Y$18="Alta",'Mapa final'!$AA$18="Menor"),CONCATENATE("R7C",'Mapa final'!$O$18),"")</f>
        <v/>
      </c>
      <c r="S22" s="68" t="str">
        <f>IF(AND('Mapa final'!$Y$19="Alta",'Mapa final'!$AA$19="Menor"),CONCATENATE("R7C",'Mapa final'!$O$19),"")</f>
        <v/>
      </c>
      <c r="T22" s="68" t="str">
        <f>IF(AND('Mapa final'!$Y$20="Alta",'Mapa final'!$AA$20="Menor"),CONCATENATE("R7C",'Mapa final'!$O$20),"")</f>
        <v/>
      </c>
      <c r="U22" s="69" t="str">
        <f>IF(AND('Mapa final'!$Y$21="Alta",'Mapa final'!$AA$21="Menor"),CONCATENATE("R7C",'Mapa final'!$O$21),"")</f>
        <v/>
      </c>
      <c r="V22" s="52" t="str">
        <f>IF(AND('Mapa final'!$Y$16="Alta",'Mapa final'!$AA$16="Moderado"),CONCATENATE("R7C",'Mapa final'!$O$16),"")</f>
        <v/>
      </c>
      <c r="W22" s="53" t="str">
        <f>IF(AND('Mapa final'!$Y$17="Alta",'Mapa final'!$AA$17="Moderado"),CONCATENATE("R7C",'Mapa final'!$O$17),"")</f>
        <v/>
      </c>
      <c r="X22" s="53" t="str">
        <f>IF(AND('Mapa final'!$Y$18="Alta",'Mapa final'!$AA$18="Moderado"),CONCATENATE("R7C",'Mapa final'!$O$18),"")</f>
        <v/>
      </c>
      <c r="Y22" s="53" t="str">
        <f>IF(AND('Mapa final'!$Y$19="Alta",'Mapa final'!$AA$19="Moderado"),CONCATENATE("R7C",'Mapa final'!$O$19),"")</f>
        <v/>
      </c>
      <c r="Z22" s="53" t="str">
        <f>IF(AND('Mapa final'!$Y$20="Alta",'Mapa final'!$AA$20="Moderado"),CONCATENATE("R7C",'Mapa final'!$O$20),"")</f>
        <v/>
      </c>
      <c r="AA22" s="54" t="str">
        <f>IF(AND('Mapa final'!$Y$21="Alta",'Mapa final'!$AA$21="Moderado"),CONCATENATE("R7C",'Mapa final'!$O$21),"")</f>
        <v/>
      </c>
      <c r="AB22" s="52" t="str">
        <f>IF(AND('Mapa final'!$Y$16="Alta",'Mapa final'!$AA$16="Mayor"),CONCATENATE("R7C",'Mapa final'!$O$16),"")</f>
        <v/>
      </c>
      <c r="AC22" s="53" t="str">
        <f>IF(AND('Mapa final'!$Y$17="Alta",'Mapa final'!$AA$17="Mayor"),CONCATENATE("R7C",'Mapa final'!$O$17),"")</f>
        <v/>
      </c>
      <c r="AD22" s="53" t="str">
        <f>IF(AND('Mapa final'!$Y$18="Alta",'Mapa final'!$AA$18="Mayor"),CONCATENATE("R7C",'Mapa final'!$O$18),"")</f>
        <v/>
      </c>
      <c r="AE22" s="53" t="str">
        <f>IF(AND('Mapa final'!$Y$19="Alta",'Mapa final'!$AA$19="Mayor"),CONCATENATE("R7C",'Mapa final'!$O$19),"")</f>
        <v/>
      </c>
      <c r="AF22" s="53" t="str">
        <f>IF(AND('Mapa final'!$Y$20="Alta",'Mapa final'!$AA$20="Mayor"),CONCATENATE("R7C",'Mapa final'!$O$20),"")</f>
        <v/>
      </c>
      <c r="AG22" s="54" t="str">
        <f>IF(AND('Mapa final'!$Y$21="Alta",'Mapa final'!$AA$21="Mayor"),CONCATENATE("R7C",'Mapa final'!$O$21),"")</f>
        <v/>
      </c>
      <c r="AH22" s="55" t="str">
        <f>IF(AND('Mapa final'!$Y$16="Alta",'Mapa final'!$AA$16="Catastrófico"),CONCATENATE("R7C",'Mapa final'!$O$16),"")</f>
        <v/>
      </c>
      <c r="AI22" s="56" t="str">
        <f>IF(AND('Mapa final'!$Y$17="Alta",'Mapa final'!$AA$17="Catastrófico"),CONCATENATE("R7C",'Mapa final'!$O$17),"")</f>
        <v/>
      </c>
      <c r="AJ22" s="56" t="str">
        <f>IF(AND('Mapa final'!$Y$18="Alta",'Mapa final'!$AA$18="Catastrófico"),CONCATENATE("R7C",'Mapa final'!$O$18),"")</f>
        <v/>
      </c>
      <c r="AK22" s="56" t="str">
        <f>IF(AND('Mapa final'!$Y$19="Alta",'Mapa final'!$AA$19="Catastrófico"),CONCATENATE("R7C",'Mapa final'!$O$19),"")</f>
        <v/>
      </c>
      <c r="AL22" s="56" t="str">
        <f>IF(AND('Mapa final'!$Y$20="Alta",'Mapa final'!$AA$20="Catastrófico"),CONCATENATE("R7C",'Mapa final'!$O$20),"")</f>
        <v/>
      </c>
      <c r="AM22" s="57" t="str">
        <f>IF(AND('Mapa final'!$Y$21="Alta",'Mapa final'!$AA$21="Catastrófico"),CONCATENATE("R7C",'Mapa final'!$O$21),"")</f>
        <v/>
      </c>
      <c r="AN22" s="83"/>
      <c r="AO22" s="347"/>
      <c r="AP22" s="348"/>
      <c r="AQ22" s="348"/>
      <c r="AR22" s="348"/>
      <c r="AS22" s="348"/>
      <c r="AT22" s="34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96"/>
      <c r="C23" s="296"/>
      <c r="D23" s="297"/>
      <c r="E23" s="337"/>
      <c r="F23" s="338"/>
      <c r="G23" s="338"/>
      <c r="H23" s="338"/>
      <c r="I23" s="338"/>
      <c r="J23" s="67" t="str">
        <f>IF(AND('Mapa final'!$Y$22="Alta",'Mapa final'!$AA$22="Leve"),CONCATENATE("R8C",'Mapa final'!$O$22),"")</f>
        <v/>
      </c>
      <c r="K23" s="68" t="str">
        <f>IF(AND('Mapa final'!$Y$23="Alta",'Mapa final'!$AA$23="Leve"),CONCATENATE("R8C",'Mapa final'!$O$23),"")</f>
        <v/>
      </c>
      <c r="L23" s="68" t="str">
        <f>IF(AND('Mapa final'!$Y$24="Alta",'Mapa final'!$AA$24="Leve"),CONCATENATE("R8C",'Mapa final'!$O$24),"")</f>
        <v/>
      </c>
      <c r="M23" s="68" t="str">
        <f>IF(AND('Mapa final'!$Y$25="Alta",'Mapa final'!$AA$25="Leve"),CONCATENATE("R8C",'Mapa final'!$O$25),"")</f>
        <v/>
      </c>
      <c r="N23" s="68" t="str">
        <f>IF(AND('Mapa final'!$Y$26="Alta",'Mapa final'!$AA$26="Leve"),CONCATENATE("R8C",'Mapa final'!$O$26),"")</f>
        <v/>
      </c>
      <c r="O23" s="69" t="str">
        <f>IF(AND('Mapa final'!$Y$27="Alta",'Mapa final'!$AA$27="Leve"),CONCATENATE("R8C",'Mapa final'!$O$27),"")</f>
        <v/>
      </c>
      <c r="P23" s="67" t="str">
        <f>IF(AND('Mapa final'!$Y$22="Alta",'Mapa final'!$AA$22="Menor"),CONCATENATE("R8C",'Mapa final'!$O$22),"")</f>
        <v/>
      </c>
      <c r="Q23" s="68" t="str">
        <f>IF(AND('Mapa final'!$Y$23="Alta",'Mapa final'!$AA$23="Menor"),CONCATENATE("R8C",'Mapa final'!$O$23),"")</f>
        <v/>
      </c>
      <c r="R23" s="68" t="str">
        <f>IF(AND('Mapa final'!$Y$24="Alta",'Mapa final'!$AA$24="Menor"),CONCATENATE("R8C",'Mapa final'!$O$24),"")</f>
        <v/>
      </c>
      <c r="S23" s="68" t="str">
        <f>IF(AND('Mapa final'!$Y$25="Alta",'Mapa final'!$AA$25="Menor"),CONCATENATE("R8C",'Mapa final'!$O$25),"")</f>
        <v/>
      </c>
      <c r="T23" s="68" t="str">
        <f>IF(AND('Mapa final'!$Y$26="Alta",'Mapa final'!$AA$26="Menor"),CONCATENATE("R8C",'Mapa final'!$O$26),"")</f>
        <v/>
      </c>
      <c r="U23" s="69" t="str">
        <f>IF(AND('Mapa final'!$Y$27="Alta",'Mapa final'!$AA$27="Menor"),CONCATENATE("R8C",'Mapa final'!$O$27),"")</f>
        <v/>
      </c>
      <c r="V23" s="52" t="str">
        <f>IF(AND('Mapa final'!$Y$22="Alta",'Mapa final'!$AA$22="Moderado"),CONCATENATE("R8C",'Mapa final'!$O$22),"")</f>
        <v/>
      </c>
      <c r="W23" s="53" t="str">
        <f>IF(AND('Mapa final'!$Y$23="Alta",'Mapa final'!$AA$23="Moderado"),CONCATENATE("R8C",'Mapa final'!$O$23),"")</f>
        <v/>
      </c>
      <c r="X23" s="53" t="str">
        <f>IF(AND('Mapa final'!$Y$24="Alta",'Mapa final'!$AA$24="Moderado"),CONCATENATE("R8C",'Mapa final'!$O$24),"")</f>
        <v/>
      </c>
      <c r="Y23" s="53" t="str">
        <f>IF(AND('Mapa final'!$Y$25="Alta",'Mapa final'!$AA$25="Moderado"),CONCATENATE("R8C",'Mapa final'!$O$25),"")</f>
        <v/>
      </c>
      <c r="Z23" s="53" t="str">
        <f>IF(AND('Mapa final'!$Y$26="Alta",'Mapa final'!$AA$26="Moderado"),CONCATENATE("R8C",'Mapa final'!$O$26),"")</f>
        <v/>
      </c>
      <c r="AA23" s="54" t="str">
        <f>IF(AND('Mapa final'!$Y$27="Alta",'Mapa final'!$AA$27="Moderado"),CONCATENATE("R8C",'Mapa final'!$O$27),"")</f>
        <v/>
      </c>
      <c r="AB23" s="52" t="str">
        <f>IF(AND('Mapa final'!$Y$22="Alta",'Mapa final'!$AA$22="Mayor"),CONCATENATE("R8C",'Mapa final'!$O$22),"")</f>
        <v/>
      </c>
      <c r="AC23" s="53" t="str">
        <f>IF(AND('Mapa final'!$Y$23="Alta",'Mapa final'!$AA$23="Mayor"),CONCATENATE("R8C",'Mapa final'!$O$23),"")</f>
        <v/>
      </c>
      <c r="AD23" s="53" t="str">
        <f>IF(AND('Mapa final'!$Y$24="Alta",'Mapa final'!$AA$24="Mayor"),CONCATENATE("R8C",'Mapa final'!$O$24),"")</f>
        <v/>
      </c>
      <c r="AE23" s="53" t="str">
        <f>IF(AND('Mapa final'!$Y$25="Alta",'Mapa final'!$AA$25="Mayor"),CONCATENATE("R8C",'Mapa final'!$O$25),"")</f>
        <v/>
      </c>
      <c r="AF23" s="53" t="str">
        <f>IF(AND('Mapa final'!$Y$26="Alta",'Mapa final'!$AA$26="Mayor"),CONCATENATE("R8C",'Mapa final'!$O$26),"")</f>
        <v/>
      </c>
      <c r="AG23" s="54" t="str">
        <f>IF(AND('Mapa final'!$Y$27="Alta",'Mapa final'!$AA$27="Mayor"),CONCATENATE("R8C",'Mapa final'!$O$27),"")</f>
        <v/>
      </c>
      <c r="AH23" s="55" t="str">
        <f>IF(AND('Mapa final'!$Y$22="Alta",'Mapa final'!$AA$22="Catastrófico"),CONCATENATE("R8C",'Mapa final'!$O$22),"")</f>
        <v/>
      </c>
      <c r="AI23" s="56" t="str">
        <f>IF(AND('Mapa final'!$Y$23="Alta",'Mapa final'!$AA$23="Catastrófico"),CONCATENATE("R8C",'Mapa final'!$O$23),"")</f>
        <v/>
      </c>
      <c r="AJ23" s="56" t="str">
        <f>IF(AND('Mapa final'!$Y$24="Alta",'Mapa final'!$AA$24="Catastrófico"),CONCATENATE("R8C",'Mapa final'!$O$24),"")</f>
        <v/>
      </c>
      <c r="AK23" s="56" t="str">
        <f>IF(AND('Mapa final'!$Y$25="Alta",'Mapa final'!$AA$25="Catastrófico"),CONCATENATE("R8C",'Mapa final'!$O$25),"")</f>
        <v/>
      </c>
      <c r="AL23" s="56" t="str">
        <f>IF(AND('Mapa final'!$Y$26="Alta",'Mapa final'!$AA$26="Catastrófico"),CONCATENATE("R8C",'Mapa final'!$O$26),"")</f>
        <v/>
      </c>
      <c r="AM23" s="57" t="str">
        <f>IF(AND('Mapa final'!$Y$27="Alta",'Mapa final'!$AA$27="Catastrófico"),CONCATENATE("R8C",'Mapa final'!$O$27),"")</f>
        <v/>
      </c>
      <c r="AN23" s="83"/>
      <c r="AO23" s="347"/>
      <c r="AP23" s="348"/>
      <c r="AQ23" s="348"/>
      <c r="AR23" s="348"/>
      <c r="AS23" s="348"/>
      <c r="AT23" s="34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96"/>
      <c r="C24" s="296"/>
      <c r="D24" s="297"/>
      <c r="E24" s="337"/>
      <c r="F24" s="338"/>
      <c r="G24" s="338"/>
      <c r="H24" s="338"/>
      <c r="I24" s="338"/>
      <c r="J24" s="67" t="str">
        <f>IF(AND('Mapa final'!$Y$28="Alta",'Mapa final'!$AA$28="Leve"),CONCATENATE("R9C",'Mapa final'!$O$28),"")</f>
        <v/>
      </c>
      <c r="K24" s="68" t="str">
        <f>IF(AND('Mapa final'!$Y$29="Alta",'Mapa final'!$AA$29="Leve"),CONCATENATE("R9C",'Mapa final'!$O$29),"")</f>
        <v/>
      </c>
      <c r="L24" s="68" t="str">
        <f>IF(AND('Mapa final'!$Y$30="Alta",'Mapa final'!$AA$30="Leve"),CONCATENATE("R9C",'Mapa final'!$O$30),"")</f>
        <v/>
      </c>
      <c r="M24" s="68" t="str">
        <f>IF(AND('Mapa final'!$Y$31="Alta",'Mapa final'!$AA$31="Leve"),CONCATENATE("R9C",'Mapa final'!$O$31),"")</f>
        <v/>
      </c>
      <c r="N24" s="68" t="str">
        <f>IF(AND('Mapa final'!$Y$32="Alta",'Mapa final'!$AA$32="Leve"),CONCATENATE("R9C",'Mapa final'!$O$32),"")</f>
        <v/>
      </c>
      <c r="O24" s="69" t="str">
        <f>IF(AND('Mapa final'!$Y$33="Alta",'Mapa final'!$AA$33="Leve"),CONCATENATE("R9C",'Mapa final'!$O$33),"")</f>
        <v/>
      </c>
      <c r="P24" s="67" t="str">
        <f>IF(AND('Mapa final'!$Y$28="Alta",'Mapa final'!$AA$28="Menor"),CONCATENATE("R9C",'Mapa final'!$O$28),"")</f>
        <v/>
      </c>
      <c r="Q24" s="68" t="str">
        <f>IF(AND('Mapa final'!$Y$29="Alta",'Mapa final'!$AA$29="Menor"),CONCATENATE("R9C",'Mapa final'!$O$29),"")</f>
        <v/>
      </c>
      <c r="R24" s="68" t="str">
        <f>IF(AND('Mapa final'!$Y$30="Alta",'Mapa final'!$AA$30="Menor"),CONCATENATE("R9C",'Mapa final'!$O$30),"")</f>
        <v/>
      </c>
      <c r="S24" s="68" t="str">
        <f>IF(AND('Mapa final'!$Y$31="Alta",'Mapa final'!$AA$31="Menor"),CONCATENATE("R9C",'Mapa final'!$O$31),"")</f>
        <v/>
      </c>
      <c r="T24" s="68" t="str">
        <f>IF(AND('Mapa final'!$Y$32="Alta",'Mapa final'!$AA$32="Menor"),CONCATENATE("R9C",'Mapa final'!$O$32),"")</f>
        <v/>
      </c>
      <c r="U24" s="69" t="str">
        <f>IF(AND('Mapa final'!$Y$33="Alta",'Mapa final'!$AA$33="Menor"),CONCATENATE("R9C",'Mapa final'!$O$33),"")</f>
        <v/>
      </c>
      <c r="V24" s="52" t="str">
        <f>IF(AND('Mapa final'!$Y$28="Alta",'Mapa final'!$AA$28="Moderado"),CONCATENATE("R9C",'Mapa final'!$O$28),"")</f>
        <v/>
      </c>
      <c r="W24" s="53" t="str">
        <f>IF(AND('Mapa final'!$Y$29="Alta",'Mapa final'!$AA$29="Moderado"),CONCATENATE("R9C",'Mapa final'!$O$29),"")</f>
        <v/>
      </c>
      <c r="X24" s="53" t="str">
        <f>IF(AND('Mapa final'!$Y$30="Alta",'Mapa final'!$AA$30="Moderado"),CONCATENATE("R9C",'Mapa final'!$O$30),"")</f>
        <v/>
      </c>
      <c r="Y24" s="53" t="str">
        <f>IF(AND('Mapa final'!$Y$31="Alta",'Mapa final'!$AA$31="Moderado"),CONCATENATE("R9C",'Mapa final'!$O$31),"")</f>
        <v/>
      </c>
      <c r="Z24" s="53" t="str">
        <f>IF(AND('Mapa final'!$Y$32="Alta",'Mapa final'!$AA$32="Moderado"),CONCATENATE("R9C",'Mapa final'!$O$32),"")</f>
        <v/>
      </c>
      <c r="AA24" s="54" t="str">
        <f>IF(AND('Mapa final'!$Y$33="Alta",'Mapa final'!$AA$33="Moderado"),CONCATENATE("R9C",'Mapa final'!$O$33),"")</f>
        <v/>
      </c>
      <c r="AB24" s="52" t="str">
        <f>IF(AND('Mapa final'!$Y$28="Alta",'Mapa final'!$AA$28="Mayor"),CONCATENATE("R9C",'Mapa final'!$O$28),"")</f>
        <v/>
      </c>
      <c r="AC24" s="53" t="str">
        <f>IF(AND('Mapa final'!$Y$29="Alta",'Mapa final'!$AA$29="Mayor"),CONCATENATE("R9C",'Mapa final'!$O$29),"")</f>
        <v/>
      </c>
      <c r="AD24" s="53" t="str">
        <f>IF(AND('Mapa final'!$Y$30="Alta",'Mapa final'!$AA$30="Mayor"),CONCATENATE("R9C",'Mapa final'!$O$30),"")</f>
        <v/>
      </c>
      <c r="AE24" s="53" t="str">
        <f>IF(AND('Mapa final'!$Y$31="Alta",'Mapa final'!$AA$31="Mayor"),CONCATENATE("R9C",'Mapa final'!$O$31),"")</f>
        <v/>
      </c>
      <c r="AF24" s="53" t="str">
        <f>IF(AND('Mapa final'!$Y$32="Alta",'Mapa final'!$AA$32="Mayor"),CONCATENATE("R9C",'Mapa final'!$O$32),"")</f>
        <v/>
      </c>
      <c r="AG24" s="54" t="str">
        <f>IF(AND('Mapa final'!$Y$33="Alta",'Mapa final'!$AA$33="Mayor"),CONCATENATE("R9C",'Mapa final'!$O$33),"")</f>
        <v/>
      </c>
      <c r="AH24" s="55" t="str">
        <f>IF(AND('Mapa final'!$Y$28="Alta",'Mapa final'!$AA$28="Catastrófico"),CONCATENATE("R9C",'Mapa final'!$O$28),"")</f>
        <v/>
      </c>
      <c r="AI24" s="56" t="str">
        <f>IF(AND('Mapa final'!$Y$29="Alta",'Mapa final'!$AA$29="Catastrófico"),CONCATENATE("R9C",'Mapa final'!$O$29),"")</f>
        <v/>
      </c>
      <c r="AJ24" s="56" t="str">
        <f>IF(AND('Mapa final'!$Y$30="Alta",'Mapa final'!$AA$30="Catastrófico"),CONCATENATE("R9C",'Mapa final'!$O$30),"")</f>
        <v/>
      </c>
      <c r="AK24" s="56" t="str">
        <f>IF(AND('Mapa final'!$Y$31="Alta",'Mapa final'!$AA$31="Catastrófico"),CONCATENATE("R9C",'Mapa final'!$O$31),"")</f>
        <v/>
      </c>
      <c r="AL24" s="56" t="str">
        <f>IF(AND('Mapa final'!$Y$32="Alta",'Mapa final'!$AA$32="Catastrófico"),CONCATENATE("R9C",'Mapa final'!$O$32),"")</f>
        <v/>
      </c>
      <c r="AM24" s="57" t="str">
        <f>IF(AND('Mapa final'!$Y$33="Alta",'Mapa final'!$AA$33="Catastrófico"),CONCATENATE("R9C",'Mapa final'!$O$33),"")</f>
        <v/>
      </c>
      <c r="AN24" s="83"/>
      <c r="AO24" s="347"/>
      <c r="AP24" s="348"/>
      <c r="AQ24" s="348"/>
      <c r="AR24" s="348"/>
      <c r="AS24" s="348"/>
      <c r="AT24" s="34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96"/>
      <c r="C25" s="296"/>
      <c r="D25" s="297"/>
      <c r="E25" s="340"/>
      <c r="F25" s="341"/>
      <c r="G25" s="341"/>
      <c r="H25" s="341"/>
      <c r="I25" s="341"/>
      <c r="J25" s="70" t="str">
        <f>IF(AND('Mapa final'!$Y$34="Alta",'Mapa final'!$AA$34="Leve"),CONCATENATE("R10C",'Mapa final'!$O$34),"")</f>
        <v/>
      </c>
      <c r="K25" s="71" t="str">
        <f>IF(AND('Mapa final'!$Y$35="Alta",'Mapa final'!$AA$35="Leve"),CONCATENATE("R10C",'Mapa final'!$O$35),"")</f>
        <v/>
      </c>
      <c r="L25" s="71" t="str">
        <f>IF(AND('Mapa final'!$Y$36="Alta",'Mapa final'!$AA$36="Leve"),CONCATENATE("R10C",'Mapa final'!$O$36),"")</f>
        <v/>
      </c>
      <c r="M25" s="71" t="str">
        <f>IF(AND('Mapa final'!$Y$37="Alta",'Mapa final'!$AA$37="Leve"),CONCATENATE("R10C",'Mapa final'!$O$37),"")</f>
        <v/>
      </c>
      <c r="N25" s="71" t="str">
        <f>IF(AND('Mapa final'!$Y$38="Alta",'Mapa final'!$AA$38="Leve"),CONCATENATE("R10C",'Mapa final'!$O$38),"")</f>
        <v/>
      </c>
      <c r="O25" s="72" t="str">
        <f>IF(AND('Mapa final'!$Y$39="Alta",'Mapa final'!$AA$39="Leve"),CONCATENATE("R10C",'Mapa final'!$O$39),"")</f>
        <v/>
      </c>
      <c r="P25" s="70" t="str">
        <f>IF(AND('Mapa final'!$Y$34="Alta",'Mapa final'!$AA$34="Menor"),CONCATENATE("R10C",'Mapa final'!$O$34),"")</f>
        <v/>
      </c>
      <c r="Q25" s="71" t="str">
        <f>IF(AND('Mapa final'!$Y$35="Alta",'Mapa final'!$AA$35="Menor"),CONCATENATE("R10C",'Mapa final'!$O$35),"")</f>
        <v/>
      </c>
      <c r="R25" s="71" t="str">
        <f>IF(AND('Mapa final'!$Y$36="Alta",'Mapa final'!$AA$36="Menor"),CONCATENATE("R10C",'Mapa final'!$O$36),"")</f>
        <v/>
      </c>
      <c r="S25" s="71" t="str">
        <f>IF(AND('Mapa final'!$Y$37="Alta",'Mapa final'!$AA$37="Menor"),CONCATENATE("R10C",'Mapa final'!$O$37),"")</f>
        <v/>
      </c>
      <c r="T25" s="71" t="str">
        <f>IF(AND('Mapa final'!$Y$38="Alta",'Mapa final'!$AA$38="Menor"),CONCATENATE("R10C",'Mapa final'!$O$38),"")</f>
        <v/>
      </c>
      <c r="U25" s="72" t="str">
        <f>IF(AND('Mapa final'!$Y$39="Alta",'Mapa final'!$AA$39="Menor"),CONCATENATE("R10C",'Mapa final'!$O$39),"")</f>
        <v/>
      </c>
      <c r="V25" s="58" t="str">
        <f>IF(AND('Mapa final'!$Y$34="Alta",'Mapa final'!$AA$34="Moderado"),CONCATENATE("R10C",'Mapa final'!$O$34),"")</f>
        <v/>
      </c>
      <c r="W25" s="59" t="str">
        <f>IF(AND('Mapa final'!$Y$35="Alta",'Mapa final'!$AA$35="Moderado"),CONCATENATE("R10C",'Mapa final'!$O$35),"")</f>
        <v/>
      </c>
      <c r="X25" s="59" t="str">
        <f>IF(AND('Mapa final'!$Y$36="Alta",'Mapa final'!$AA$36="Moderado"),CONCATENATE("R10C",'Mapa final'!$O$36),"")</f>
        <v/>
      </c>
      <c r="Y25" s="59" t="str">
        <f>IF(AND('Mapa final'!$Y$37="Alta",'Mapa final'!$AA$37="Moderado"),CONCATENATE("R10C",'Mapa final'!$O$37),"")</f>
        <v/>
      </c>
      <c r="Z25" s="59" t="str">
        <f>IF(AND('Mapa final'!$Y$38="Alta",'Mapa final'!$AA$38="Moderado"),CONCATENATE("R10C",'Mapa final'!$O$38),"")</f>
        <v/>
      </c>
      <c r="AA25" s="60" t="str">
        <f>IF(AND('Mapa final'!$Y$39="Alta",'Mapa final'!$AA$39="Moderado"),CONCATENATE("R10C",'Mapa final'!$O$39),"")</f>
        <v/>
      </c>
      <c r="AB25" s="58" t="str">
        <f>IF(AND('Mapa final'!$Y$34="Alta",'Mapa final'!$AA$34="Mayor"),CONCATENATE("R10C",'Mapa final'!$O$34),"")</f>
        <v/>
      </c>
      <c r="AC25" s="59" t="str">
        <f>IF(AND('Mapa final'!$Y$35="Alta",'Mapa final'!$AA$35="Mayor"),CONCATENATE("R10C",'Mapa final'!$O$35),"")</f>
        <v/>
      </c>
      <c r="AD25" s="59" t="str">
        <f>IF(AND('Mapa final'!$Y$36="Alta",'Mapa final'!$AA$36="Mayor"),CONCATENATE("R10C",'Mapa final'!$O$36),"")</f>
        <v/>
      </c>
      <c r="AE25" s="59" t="str">
        <f>IF(AND('Mapa final'!$Y$37="Alta",'Mapa final'!$AA$37="Mayor"),CONCATENATE("R10C",'Mapa final'!$O$37),"")</f>
        <v/>
      </c>
      <c r="AF25" s="59" t="str">
        <f>IF(AND('Mapa final'!$Y$38="Alta",'Mapa final'!$AA$38="Mayor"),CONCATENATE("R10C",'Mapa final'!$O$38),"")</f>
        <v/>
      </c>
      <c r="AG25" s="60" t="str">
        <f>IF(AND('Mapa final'!$Y$39="Alta",'Mapa final'!$AA$39="Mayor"),CONCATENATE("R10C",'Mapa final'!$O$39),"")</f>
        <v/>
      </c>
      <c r="AH25" s="61" t="str">
        <f>IF(AND('Mapa final'!$Y$34="Alta",'Mapa final'!$AA$34="Catastrófico"),CONCATENATE("R10C",'Mapa final'!$O$34),"")</f>
        <v/>
      </c>
      <c r="AI25" s="62" t="str">
        <f>IF(AND('Mapa final'!$Y$35="Alta",'Mapa final'!$AA$35="Catastrófico"),CONCATENATE("R10C",'Mapa final'!$O$35),"")</f>
        <v/>
      </c>
      <c r="AJ25" s="62" t="str">
        <f>IF(AND('Mapa final'!$Y$36="Alta",'Mapa final'!$AA$36="Catastrófico"),CONCATENATE("R10C",'Mapa final'!$O$36),"")</f>
        <v/>
      </c>
      <c r="AK25" s="62" t="str">
        <f>IF(AND('Mapa final'!$Y$37="Alta",'Mapa final'!$AA$37="Catastrófico"),CONCATENATE("R10C",'Mapa final'!$O$37),"")</f>
        <v/>
      </c>
      <c r="AL25" s="62" t="str">
        <f>IF(AND('Mapa final'!$Y$38="Alta",'Mapa final'!$AA$38="Catastrófico"),CONCATENATE("R10C",'Mapa final'!$O$38),"")</f>
        <v/>
      </c>
      <c r="AM25" s="63" t="str">
        <f>IF(AND('Mapa final'!$Y$39="Alta",'Mapa final'!$AA$39="Catastrófico"),CONCATENATE("R10C",'Mapa final'!$O$39),"")</f>
        <v/>
      </c>
      <c r="AN25" s="83"/>
      <c r="AO25" s="350"/>
      <c r="AP25" s="351"/>
      <c r="AQ25" s="351"/>
      <c r="AR25" s="351"/>
      <c r="AS25" s="351"/>
      <c r="AT25" s="35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96"/>
      <c r="C26" s="296"/>
      <c r="D26" s="297"/>
      <c r="E26" s="334" t="s">
        <v>117</v>
      </c>
      <c r="F26" s="335"/>
      <c r="G26" s="335"/>
      <c r="H26" s="335"/>
      <c r="I26" s="336"/>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4" t="s">
        <v>81</v>
      </c>
      <c r="AP26" s="375"/>
      <c r="AQ26" s="375"/>
      <c r="AR26" s="375"/>
      <c r="AS26" s="375"/>
      <c r="AT26" s="37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96"/>
      <c r="C27" s="296"/>
      <c r="D27" s="297"/>
      <c r="E27" s="353"/>
      <c r="F27" s="338"/>
      <c r="G27" s="338"/>
      <c r="H27" s="338"/>
      <c r="I27" s="339"/>
      <c r="J27" s="67" t="str">
        <f>IF(AND('Mapa final'!$Y$11="Media",'Mapa final'!$AA$11="Leve"),CONCATENATE("R2C",'Mapa final'!$O$11),"")</f>
        <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IF(AND('Mapa final'!$Y$11="Media",'Mapa final'!$AA$11="Menor"),CONCATENATE("R2C",'Mapa final'!$O$11),"")</f>
        <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IF(AND('Mapa final'!$Y$11="Media",'Mapa final'!$AA$11="Moderado"),CONCATENATE("R2C",'Mapa final'!$O$11),"")</f>
        <v>R2C1</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IF(AND('Mapa final'!$Y$11="Media",'Mapa final'!$AA$11="Mayor"),CONCATENATE("R2C",'Mapa final'!$O$11),"")</f>
        <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77"/>
      <c r="AP27" s="378"/>
      <c r="AQ27" s="378"/>
      <c r="AR27" s="378"/>
      <c r="AS27" s="378"/>
      <c r="AT27" s="37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96"/>
      <c r="C28" s="296"/>
      <c r="D28" s="297"/>
      <c r="E28" s="337"/>
      <c r="F28" s="338"/>
      <c r="G28" s="338"/>
      <c r="H28" s="338"/>
      <c r="I28" s="339"/>
      <c r="J28" s="67" t="str">
        <f>IF(AND('Mapa final'!$Y$12="Media",'Mapa final'!$AA$12="Leve"),CONCATENATE("R3C",'Mapa final'!$O$12),"")</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final'!$Y$12="Media",'Mapa final'!$AA$12="Menor"),CONCATENATE("R3C",'Mapa final'!$O$12),"")</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final'!$Y$12="Media",'Mapa final'!$AA$12="Moderado"),CONCATENATE("R3C",'Mapa final'!$O$12),"")</f>
        <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77"/>
      <c r="AP28" s="378"/>
      <c r="AQ28" s="378"/>
      <c r="AR28" s="378"/>
      <c r="AS28" s="378"/>
      <c r="AT28" s="37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96"/>
      <c r="C29" s="296"/>
      <c r="D29" s="297"/>
      <c r="E29" s="337"/>
      <c r="F29" s="338"/>
      <c r="G29" s="338"/>
      <c r="H29" s="338"/>
      <c r="I29" s="339"/>
      <c r="J29" s="67" t="str">
        <f>IF(AND('Mapa final'!$Y$13="Media",'Mapa final'!$AA$13="Leve"),CONCATENATE("R4C",'Mapa final'!$O$13),"")</f>
        <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str">
        <f>IF(AND('Mapa final'!$Y$13="Media",'Mapa final'!$AA$13="Menor"),CONCATENATE("R4C",'Mapa final'!$O$13),"")</f>
        <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str">
        <f>IF(AND('Mapa final'!$Y$13="Media",'Mapa final'!$AA$13="Moderado"),CONCATENATE("R4C",'Mapa final'!$O$13),"")</f>
        <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str">
        <f>IF(AND('Mapa final'!$Y$13="Media",'Mapa final'!$AA$13="Mayor"),CONCATENATE("R4C",'Mapa final'!$O$13),"")</f>
        <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str">
        <f>IF(AND('Mapa final'!$Y$13="Media",'Mapa final'!$AA$13="Catastrófico"),CONCATENATE("R4C",'Mapa final'!$O$13),"")</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377"/>
      <c r="AP29" s="378"/>
      <c r="AQ29" s="378"/>
      <c r="AR29" s="378"/>
      <c r="AS29" s="378"/>
      <c r="AT29" s="37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96"/>
      <c r="C30" s="296"/>
      <c r="D30" s="297"/>
      <c r="E30" s="337"/>
      <c r="F30" s="338"/>
      <c r="G30" s="338"/>
      <c r="H30" s="338"/>
      <c r="I30" s="339"/>
      <c r="J30" s="67" t="str">
        <f>IF(AND('Mapa final'!$Y$14="Media",'Mapa final'!$AA$14="Leve"),CONCATENATE("R5C",'Mapa final'!$O$14),"")</f>
        <v/>
      </c>
      <c r="K30" s="68" t="e">
        <f>IF(AND('Mapa final'!#REF!="Media",'Mapa final'!#REF!="Leve"),CONCATENATE("R5C",'Mapa final'!#REF!),"")</f>
        <v>#REF!</v>
      </c>
      <c r="L30" s="68" t="e">
        <f>IF(AND('Mapa final'!#REF!="Media",'Mapa final'!#REF!="Leve"),CONCATENATE("R5C",'Mapa final'!#REF!),"")</f>
        <v>#REF!</v>
      </c>
      <c r="M30" s="68" t="e">
        <f>IF(AND('Mapa final'!#REF!="Media",'Mapa final'!#REF!="Leve"),CONCATENATE("R5C",'Mapa final'!#REF!),"")</f>
        <v>#REF!</v>
      </c>
      <c r="N30" s="68" t="e">
        <f>IF(AND('Mapa final'!#REF!="Media",'Mapa final'!#REF!="Leve"),CONCATENATE("R5C",'Mapa final'!#REF!),"")</f>
        <v>#REF!</v>
      </c>
      <c r="O30" s="69" t="e">
        <f>IF(AND('Mapa final'!#REF!="Media",'Mapa final'!#REF!="Leve"),CONCATENATE("R5C",'Mapa final'!#REF!),"")</f>
        <v>#REF!</v>
      </c>
      <c r="P30" s="67" t="str">
        <f>IF(AND('Mapa final'!$Y$14="Media",'Mapa final'!$AA$14="Menor"),CONCATENATE("R5C",'Mapa final'!$O$14),"")</f>
        <v/>
      </c>
      <c r="Q30" s="68" t="e">
        <f>IF(AND('Mapa final'!#REF!="Media",'Mapa final'!#REF!="Menor"),CONCATENATE("R5C",'Mapa final'!#REF!),"")</f>
        <v>#REF!</v>
      </c>
      <c r="R30" s="68" t="e">
        <f>IF(AND('Mapa final'!#REF!="Media",'Mapa final'!#REF!="Menor"),CONCATENATE("R5C",'Mapa final'!#REF!),"")</f>
        <v>#REF!</v>
      </c>
      <c r="S30" s="68" t="e">
        <f>IF(AND('Mapa final'!#REF!="Media",'Mapa final'!#REF!="Menor"),CONCATENATE("R5C",'Mapa final'!#REF!),"")</f>
        <v>#REF!</v>
      </c>
      <c r="T30" s="68" t="e">
        <f>IF(AND('Mapa final'!#REF!="Media",'Mapa final'!#REF!="Menor"),CONCATENATE("R5C",'Mapa final'!#REF!),"")</f>
        <v>#REF!</v>
      </c>
      <c r="U30" s="69" t="e">
        <f>IF(AND('Mapa final'!#REF!="Media",'Mapa final'!#REF!="Menor"),CONCATENATE("R5C",'Mapa final'!#REF!),"")</f>
        <v>#REF!</v>
      </c>
      <c r="V30" s="67" t="str">
        <f>IF(AND('Mapa final'!$Y$14="Media",'Mapa final'!$AA$14="Moderado"),CONCATENATE("R5C",'Mapa final'!$O$14),"")</f>
        <v/>
      </c>
      <c r="W30" s="68" t="e">
        <f>IF(AND('Mapa final'!#REF!="Media",'Mapa final'!#REF!="Moderado"),CONCATENATE("R5C",'Mapa final'!#REF!),"")</f>
        <v>#REF!</v>
      </c>
      <c r="X30" s="68" t="e">
        <f>IF(AND('Mapa final'!#REF!="Media",'Mapa final'!#REF!="Moderado"),CONCATENATE("R5C",'Mapa final'!#REF!),"")</f>
        <v>#REF!</v>
      </c>
      <c r="Y30" s="68" t="e">
        <f>IF(AND('Mapa final'!#REF!="Media",'Mapa final'!#REF!="Moderado"),CONCATENATE("R5C",'Mapa final'!#REF!),"")</f>
        <v>#REF!</v>
      </c>
      <c r="Z30" s="68" t="e">
        <f>IF(AND('Mapa final'!#REF!="Media",'Mapa final'!#REF!="Moderado"),CONCATENATE("R5C",'Mapa final'!#REF!),"")</f>
        <v>#REF!</v>
      </c>
      <c r="AA30" s="69" t="e">
        <f>IF(AND('Mapa final'!#REF!="Media",'Mapa final'!#REF!="Moderado"),CONCATENATE("R5C",'Mapa final'!#REF!),"")</f>
        <v>#REF!</v>
      </c>
      <c r="AB30" s="52" t="str">
        <f>IF(AND('Mapa final'!$Y$14="Media",'Mapa final'!$AA$14="Mayor"),CONCATENATE("R5C",'Mapa final'!$O$14),"")</f>
        <v/>
      </c>
      <c r="AC30" s="53" t="e">
        <f>IF(AND('Mapa final'!#REF!="Media",'Mapa final'!#REF!="Mayor"),CONCATENATE("R5C",'Mapa final'!#REF!),"")</f>
        <v>#REF!</v>
      </c>
      <c r="AD30" s="53" t="e">
        <f>IF(AND('Mapa final'!#REF!="Media",'Mapa final'!#REF!="Mayor"),CONCATENATE("R5C",'Mapa final'!#REF!),"")</f>
        <v>#REF!</v>
      </c>
      <c r="AE30" s="53" t="e">
        <f>IF(AND('Mapa final'!#REF!="Media",'Mapa final'!#REF!="Mayor"),CONCATENATE("R5C",'Mapa final'!#REF!),"")</f>
        <v>#REF!</v>
      </c>
      <c r="AF30" s="53" t="e">
        <f>IF(AND('Mapa final'!#REF!="Media",'Mapa final'!#REF!="Mayor"),CONCATENATE("R5C",'Mapa final'!#REF!),"")</f>
        <v>#REF!</v>
      </c>
      <c r="AG30" s="54" t="e">
        <f>IF(AND('Mapa final'!#REF!="Media",'Mapa final'!#REF!="Mayor"),CONCATENATE("R5C",'Mapa final'!#REF!),"")</f>
        <v>#REF!</v>
      </c>
      <c r="AH30" s="55" t="str">
        <f>IF(AND('Mapa final'!$Y$14="Media",'Mapa final'!$AA$14="Catastrófico"),CONCATENATE("R5C",'Mapa final'!$O$14),"")</f>
        <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3"/>
      <c r="AO30" s="377"/>
      <c r="AP30" s="378"/>
      <c r="AQ30" s="378"/>
      <c r="AR30" s="378"/>
      <c r="AS30" s="378"/>
      <c r="AT30" s="37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96"/>
      <c r="C31" s="296"/>
      <c r="D31" s="297"/>
      <c r="E31" s="337"/>
      <c r="F31" s="338"/>
      <c r="G31" s="338"/>
      <c r="H31" s="338"/>
      <c r="I31" s="339"/>
      <c r="J31" s="67" t="str">
        <f>IF(AND('Mapa final'!$Y$15="Media",'Mapa final'!$AA$15="Leve"),CONCATENATE("R6C",'Mapa final'!$O$15),"")</f>
        <v/>
      </c>
      <c r="K31" s="68" t="e">
        <f>IF(AND('Mapa final'!#REF!="Media",'Mapa final'!#REF!="Leve"),CONCATENATE("R6C",'Mapa final'!#REF!),"")</f>
        <v>#REF!</v>
      </c>
      <c r="L31" s="68" t="e">
        <f>IF(AND('Mapa final'!#REF!="Media",'Mapa final'!#REF!="Leve"),CONCATENATE("R6C",'Mapa final'!#REF!),"")</f>
        <v>#REF!</v>
      </c>
      <c r="M31" s="68" t="e">
        <f>IF(AND('Mapa final'!#REF!="Media",'Mapa final'!#REF!="Leve"),CONCATENATE("R6C",'Mapa final'!#REF!),"")</f>
        <v>#REF!</v>
      </c>
      <c r="N31" s="68" t="e">
        <f>IF(AND('Mapa final'!#REF!="Media",'Mapa final'!#REF!="Leve"),CONCATENATE("R6C",'Mapa final'!#REF!),"")</f>
        <v>#REF!</v>
      </c>
      <c r="O31" s="69" t="e">
        <f>IF(AND('Mapa final'!#REF!="Media",'Mapa final'!#REF!="Leve"),CONCATENATE("R6C",'Mapa final'!#REF!),"")</f>
        <v>#REF!</v>
      </c>
      <c r="P31" s="67" t="str">
        <f>IF(AND('Mapa final'!$Y$15="Media",'Mapa final'!$AA$15="Menor"),CONCATENATE("R6C",'Mapa final'!$O$15),"")</f>
        <v/>
      </c>
      <c r="Q31" s="68" t="e">
        <f>IF(AND('Mapa final'!#REF!="Media",'Mapa final'!#REF!="Menor"),CONCATENATE("R6C",'Mapa final'!#REF!),"")</f>
        <v>#REF!</v>
      </c>
      <c r="R31" s="68" t="e">
        <f>IF(AND('Mapa final'!#REF!="Media",'Mapa final'!#REF!="Menor"),CONCATENATE("R6C",'Mapa final'!#REF!),"")</f>
        <v>#REF!</v>
      </c>
      <c r="S31" s="68" t="e">
        <f>IF(AND('Mapa final'!#REF!="Media",'Mapa final'!#REF!="Menor"),CONCATENATE("R6C",'Mapa final'!#REF!),"")</f>
        <v>#REF!</v>
      </c>
      <c r="T31" s="68" t="e">
        <f>IF(AND('Mapa final'!#REF!="Media",'Mapa final'!#REF!="Menor"),CONCATENATE("R6C",'Mapa final'!#REF!),"")</f>
        <v>#REF!</v>
      </c>
      <c r="U31" s="69" t="e">
        <f>IF(AND('Mapa final'!#REF!="Media",'Mapa final'!#REF!="Menor"),CONCATENATE("R6C",'Mapa final'!#REF!),"")</f>
        <v>#REF!</v>
      </c>
      <c r="V31" s="67" t="str">
        <f>IF(AND('Mapa final'!$Y$15="Media",'Mapa final'!$AA$15="Moderado"),CONCATENATE("R6C",'Mapa final'!$O$15),"")</f>
        <v/>
      </c>
      <c r="W31" s="68" t="e">
        <f>IF(AND('Mapa final'!#REF!="Media",'Mapa final'!#REF!="Moderado"),CONCATENATE("R6C",'Mapa final'!#REF!),"")</f>
        <v>#REF!</v>
      </c>
      <c r="X31" s="68" t="e">
        <f>IF(AND('Mapa final'!#REF!="Media",'Mapa final'!#REF!="Moderado"),CONCATENATE("R6C",'Mapa final'!#REF!),"")</f>
        <v>#REF!</v>
      </c>
      <c r="Y31" s="68" t="e">
        <f>IF(AND('Mapa final'!#REF!="Media",'Mapa final'!#REF!="Moderado"),CONCATENATE("R6C",'Mapa final'!#REF!),"")</f>
        <v>#REF!</v>
      </c>
      <c r="Z31" s="68" t="e">
        <f>IF(AND('Mapa final'!#REF!="Media",'Mapa final'!#REF!="Moderado"),CONCATENATE("R6C",'Mapa final'!#REF!),"")</f>
        <v>#REF!</v>
      </c>
      <c r="AA31" s="69" t="e">
        <f>IF(AND('Mapa final'!#REF!="Media",'Mapa final'!#REF!="Moderado"),CONCATENATE("R6C",'Mapa final'!#REF!),"")</f>
        <v>#REF!</v>
      </c>
      <c r="AB31" s="52" t="str">
        <f>IF(AND('Mapa final'!$Y$15="Media",'Mapa final'!$AA$15="Mayor"),CONCATENATE("R6C",'Mapa final'!$O$15),"")</f>
        <v/>
      </c>
      <c r="AC31" s="53" t="e">
        <f>IF(AND('Mapa final'!#REF!="Media",'Mapa final'!#REF!="Mayor"),CONCATENATE("R6C",'Mapa final'!#REF!),"")</f>
        <v>#REF!</v>
      </c>
      <c r="AD31" s="53" t="e">
        <f>IF(AND('Mapa final'!#REF!="Media",'Mapa final'!#REF!="Mayor"),CONCATENATE("R6C",'Mapa final'!#REF!),"")</f>
        <v>#REF!</v>
      </c>
      <c r="AE31" s="53" t="e">
        <f>IF(AND('Mapa final'!#REF!="Media",'Mapa final'!#REF!="Mayor"),CONCATENATE("R6C",'Mapa final'!#REF!),"")</f>
        <v>#REF!</v>
      </c>
      <c r="AF31" s="53" t="e">
        <f>IF(AND('Mapa final'!#REF!="Media",'Mapa final'!#REF!="Mayor"),CONCATENATE("R6C",'Mapa final'!#REF!),"")</f>
        <v>#REF!</v>
      </c>
      <c r="AG31" s="54" t="e">
        <f>IF(AND('Mapa final'!#REF!="Media",'Mapa final'!#REF!="Mayor"),CONCATENATE("R6C",'Mapa final'!#REF!),"")</f>
        <v>#REF!</v>
      </c>
      <c r="AH31" s="55" t="str">
        <f>IF(AND('Mapa final'!$Y$15="Media",'Mapa final'!$AA$15="Catastrófico"),CONCATENATE("R6C",'Mapa final'!$O$15),"")</f>
        <v/>
      </c>
      <c r="AI31" s="56" t="e">
        <f>IF(AND('Mapa final'!#REF!="Media",'Mapa final'!#REF!="Catastrófico"),CONCATENATE("R6C",'Mapa final'!#REF!),"")</f>
        <v>#REF!</v>
      </c>
      <c r="AJ31" s="56" t="e">
        <f>IF(AND('Mapa final'!#REF!="Media",'Mapa final'!#REF!="Catastrófico"),CONCATENATE("R6C",'Mapa final'!#REF!),"")</f>
        <v>#REF!</v>
      </c>
      <c r="AK31" s="56" t="e">
        <f>IF(AND('Mapa final'!#REF!="Media",'Mapa final'!#REF!="Catastrófico"),CONCATENATE("R6C",'Mapa final'!#REF!),"")</f>
        <v>#REF!</v>
      </c>
      <c r="AL31" s="56" t="e">
        <f>IF(AND('Mapa final'!#REF!="Media",'Mapa final'!#REF!="Catastrófico"),CONCATENATE("R6C",'Mapa final'!#REF!),"")</f>
        <v>#REF!</v>
      </c>
      <c r="AM31" s="57" t="e">
        <f>IF(AND('Mapa final'!#REF!="Media",'Mapa final'!#REF!="Catastrófico"),CONCATENATE("R6C",'Mapa final'!#REF!),"")</f>
        <v>#REF!</v>
      </c>
      <c r="AN31" s="83"/>
      <c r="AO31" s="377"/>
      <c r="AP31" s="378"/>
      <c r="AQ31" s="378"/>
      <c r="AR31" s="378"/>
      <c r="AS31" s="378"/>
      <c r="AT31" s="37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96"/>
      <c r="C32" s="296"/>
      <c r="D32" s="297"/>
      <c r="E32" s="337"/>
      <c r="F32" s="338"/>
      <c r="G32" s="338"/>
      <c r="H32" s="338"/>
      <c r="I32" s="339"/>
      <c r="J32" s="67" t="str">
        <f>IF(AND('Mapa final'!$Y$16="Media",'Mapa final'!$AA$16="Leve"),CONCATENATE("R7C",'Mapa final'!$O$16),"")</f>
        <v/>
      </c>
      <c r="K32" s="68" t="str">
        <f>IF(AND('Mapa final'!$Y$17="Media",'Mapa final'!$AA$17="Leve"),CONCATENATE("R7C",'Mapa final'!$O$17),"")</f>
        <v/>
      </c>
      <c r="L32" s="68" t="str">
        <f>IF(AND('Mapa final'!$Y$18="Media",'Mapa final'!$AA$18="Leve"),CONCATENATE("R7C",'Mapa final'!$O$18),"")</f>
        <v/>
      </c>
      <c r="M32" s="68" t="str">
        <f>IF(AND('Mapa final'!$Y$19="Media",'Mapa final'!$AA$19="Leve"),CONCATENATE("R7C",'Mapa final'!$O$19),"")</f>
        <v/>
      </c>
      <c r="N32" s="68" t="str">
        <f>IF(AND('Mapa final'!$Y$20="Media",'Mapa final'!$AA$20="Leve"),CONCATENATE("R7C",'Mapa final'!$O$20),"")</f>
        <v/>
      </c>
      <c r="O32" s="69" t="str">
        <f>IF(AND('Mapa final'!$Y$21="Media",'Mapa final'!$AA$21="Leve"),CONCATENATE("R7C",'Mapa final'!$O$21),"")</f>
        <v/>
      </c>
      <c r="P32" s="67" t="str">
        <f>IF(AND('Mapa final'!$Y$16="Media",'Mapa final'!$AA$16="Menor"),CONCATENATE("R7C",'Mapa final'!$O$16),"")</f>
        <v/>
      </c>
      <c r="Q32" s="68" t="str">
        <f>IF(AND('Mapa final'!$Y$17="Media",'Mapa final'!$AA$17="Menor"),CONCATENATE("R7C",'Mapa final'!$O$17),"")</f>
        <v/>
      </c>
      <c r="R32" s="68" t="str">
        <f>IF(AND('Mapa final'!$Y$18="Media",'Mapa final'!$AA$18="Menor"),CONCATENATE("R7C",'Mapa final'!$O$18),"")</f>
        <v/>
      </c>
      <c r="S32" s="68" t="str">
        <f>IF(AND('Mapa final'!$Y$19="Media",'Mapa final'!$AA$19="Menor"),CONCATENATE("R7C",'Mapa final'!$O$19),"")</f>
        <v/>
      </c>
      <c r="T32" s="68" t="str">
        <f>IF(AND('Mapa final'!$Y$20="Media",'Mapa final'!$AA$20="Menor"),CONCATENATE("R7C",'Mapa final'!$O$20),"")</f>
        <v/>
      </c>
      <c r="U32" s="69" t="str">
        <f>IF(AND('Mapa final'!$Y$21="Media",'Mapa final'!$AA$21="Menor"),CONCATENATE("R7C",'Mapa final'!$O$21),"")</f>
        <v/>
      </c>
      <c r="V32" s="67" t="str">
        <f>IF(AND('Mapa final'!$Y$16="Media",'Mapa final'!$AA$16="Moderado"),CONCATENATE("R7C",'Mapa final'!$O$16),"")</f>
        <v/>
      </c>
      <c r="W32" s="68" t="str">
        <f>IF(AND('Mapa final'!$Y$17="Media",'Mapa final'!$AA$17="Moderado"),CONCATENATE("R7C",'Mapa final'!$O$17),"")</f>
        <v/>
      </c>
      <c r="X32" s="68" t="str">
        <f>IF(AND('Mapa final'!$Y$18="Media",'Mapa final'!$AA$18="Moderado"),CONCATENATE("R7C",'Mapa final'!$O$18),"")</f>
        <v/>
      </c>
      <c r="Y32" s="68" t="str">
        <f>IF(AND('Mapa final'!$Y$19="Media",'Mapa final'!$AA$19="Moderado"),CONCATENATE("R7C",'Mapa final'!$O$19),"")</f>
        <v/>
      </c>
      <c r="Z32" s="68" t="str">
        <f>IF(AND('Mapa final'!$Y$20="Media",'Mapa final'!$AA$20="Moderado"),CONCATENATE("R7C",'Mapa final'!$O$20),"")</f>
        <v/>
      </c>
      <c r="AA32" s="69" t="str">
        <f>IF(AND('Mapa final'!$Y$21="Media",'Mapa final'!$AA$21="Moderado"),CONCATENATE("R7C",'Mapa final'!$O$21),"")</f>
        <v/>
      </c>
      <c r="AB32" s="52" t="str">
        <f>IF(AND('Mapa final'!$Y$16="Media",'Mapa final'!$AA$16="Mayor"),CONCATENATE("R7C",'Mapa final'!$O$16),"")</f>
        <v/>
      </c>
      <c r="AC32" s="53" t="str">
        <f>IF(AND('Mapa final'!$Y$17="Media",'Mapa final'!$AA$17="Mayor"),CONCATENATE("R7C",'Mapa final'!$O$17),"")</f>
        <v/>
      </c>
      <c r="AD32" s="53" t="str">
        <f>IF(AND('Mapa final'!$Y$18="Media",'Mapa final'!$AA$18="Mayor"),CONCATENATE("R7C",'Mapa final'!$O$18),"")</f>
        <v/>
      </c>
      <c r="AE32" s="53" t="str">
        <f>IF(AND('Mapa final'!$Y$19="Media",'Mapa final'!$AA$19="Mayor"),CONCATENATE("R7C",'Mapa final'!$O$19),"")</f>
        <v/>
      </c>
      <c r="AF32" s="53" t="str">
        <f>IF(AND('Mapa final'!$Y$20="Media",'Mapa final'!$AA$20="Mayor"),CONCATENATE("R7C",'Mapa final'!$O$20),"")</f>
        <v/>
      </c>
      <c r="AG32" s="54" t="str">
        <f>IF(AND('Mapa final'!$Y$21="Media",'Mapa final'!$AA$21="Mayor"),CONCATENATE("R7C",'Mapa final'!$O$21),"")</f>
        <v/>
      </c>
      <c r="AH32" s="55" t="str">
        <f>IF(AND('Mapa final'!$Y$16="Media",'Mapa final'!$AA$16="Catastrófico"),CONCATENATE("R7C",'Mapa final'!$O$16),"")</f>
        <v/>
      </c>
      <c r="AI32" s="56" t="str">
        <f>IF(AND('Mapa final'!$Y$17="Media",'Mapa final'!$AA$17="Catastrófico"),CONCATENATE("R7C",'Mapa final'!$O$17),"")</f>
        <v/>
      </c>
      <c r="AJ32" s="56" t="str">
        <f>IF(AND('Mapa final'!$Y$18="Media",'Mapa final'!$AA$18="Catastrófico"),CONCATENATE("R7C",'Mapa final'!$O$18),"")</f>
        <v/>
      </c>
      <c r="AK32" s="56" t="str">
        <f>IF(AND('Mapa final'!$Y$19="Media",'Mapa final'!$AA$19="Catastrófico"),CONCATENATE("R7C",'Mapa final'!$O$19),"")</f>
        <v/>
      </c>
      <c r="AL32" s="56" t="str">
        <f>IF(AND('Mapa final'!$Y$20="Media",'Mapa final'!$AA$20="Catastrófico"),CONCATENATE("R7C",'Mapa final'!$O$20),"")</f>
        <v/>
      </c>
      <c r="AM32" s="57" t="str">
        <f>IF(AND('Mapa final'!$Y$21="Media",'Mapa final'!$AA$21="Catastrófico"),CONCATENATE("R7C",'Mapa final'!$O$21),"")</f>
        <v/>
      </c>
      <c r="AN32" s="83"/>
      <c r="AO32" s="377"/>
      <c r="AP32" s="378"/>
      <c r="AQ32" s="378"/>
      <c r="AR32" s="378"/>
      <c r="AS32" s="378"/>
      <c r="AT32" s="37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96"/>
      <c r="C33" s="296"/>
      <c r="D33" s="297"/>
      <c r="E33" s="337"/>
      <c r="F33" s="338"/>
      <c r="G33" s="338"/>
      <c r="H33" s="338"/>
      <c r="I33" s="339"/>
      <c r="J33" s="67" t="str">
        <f>IF(AND('Mapa final'!$Y$22="Media",'Mapa final'!$AA$22="Leve"),CONCATENATE("R8C",'Mapa final'!$O$22),"")</f>
        <v/>
      </c>
      <c r="K33" s="68" t="str">
        <f>IF(AND('Mapa final'!$Y$23="Media",'Mapa final'!$AA$23="Leve"),CONCATENATE("R8C",'Mapa final'!$O$23),"")</f>
        <v/>
      </c>
      <c r="L33" s="68" t="str">
        <f>IF(AND('Mapa final'!$Y$24="Media",'Mapa final'!$AA$24="Leve"),CONCATENATE("R8C",'Mapa final'!$O$24),"")</f>
        <v/>
      </c>
      <c r="M33" s="68" t="str">
        <f>IF(AND('Mapa final'!$Y$25="Media",'Mapa final'!$AA$25="Leve"),CONCATENATE("R8C",'Mapa final'!$O$25),"")</f>
        <v/>
      </c>
      <c r="N33" s="68" t="str">
        <f>IF(AND('Mapa final'!$Y$26="Media",'Mapa final'!$AA$26="Leve"),CONCATENATE("R8C",'Mapa final'!$O$26),"")</f>
        <v/>
      </c>
      <c r="O33" s="69" t="str">
        <f>IF(AND('Mapa final'!$Y$27="Media",'Mapa final'!$AA$27="Leve"),CONCATENATE("R8C",'Mapa final'!$O$27),"")</f>
        <v/>
      </c>
      <c r="P33" s="67" t="str">
        <f>IF(AND('Mapa final'!$Y$22="Media",'Mapa final'!$AA$22="Menor"),CONCATENATE("R8C",'Mapa final'!$O$22),"")</f>
        <v/>
      </c>
      <c r="Q33" s="68" t="str">
        <f>IF(AND('Mapa final'!$Y$23="Media",'Mapa final'!$AA$23="Menor"),CONCATENATE("R8C",'Mapa final'!$O$23),"")</f>
        <v/>
      </c>
      <c r="R33" s="68" t="str">
        <f>IF(AND('Mapa final'!$Y$24="Media",'Mapa final'!$AA$24="Menor"),CONCATENATE("R8C",'Mapa final'!$O$24),"")</f>
        <v/>
      </c>
      <c r="S33" s="68" t="str">
        <f>IF(AND('Mapa final'!$Y$25="Media",'Mapa final'!$AA$25="Menor"),CONCATENATE("R8C",'Mapa final'!$O$25),"")</f>
        <v/>
      </c>
      <c r="T33" s="68" t="str">
        <f>IF(AND('Mapa final'!$Y$26="Media",'Mapa final'!$AA$26="Menor"),CONCATENATE("R8C",'Mapa final'!$O$26),"")</f>
        <v/>
      </c>
      <c r="U33" s="69" t="str">
        <f>IF(AND('Mapa final'!$Y$27="Media",'Mapa final'!$AA$27="Menor"),CONCATENATE("R8C",'Mapa final'!$O$27),"")</f>
        <v/>
      </c>
      <c r="V33" s="67" t="str">
        <f>IF(AND('Mapa final'!$Y$22="Media",'Mapa final'!$AA$22="Moderado"),CONCATENATE("R8C",'Mapa final'!$O$22),"")</f>
        <v/>
      </c>
      <c r="W33" s="68" t="str">
        <f>IF(AND('Mapa final'!$Y$23="Media",'Mapa final'!$AA$23="Moderado"),CONCATENATE("R8C",'Mapa final'!$O$23),"")</f>
        <v/>
      </c>
      <c r="X33" s="68" t="str">
        <f>IF(AND('Mapa final'!$Y$24="Media",'Mapa final'!$AA$24="Moderado"),CONCATENATE("R8C",'Mapa final'!$O$24),"")</f>
        <v/>
      </c>
      <c r="Y33" s="68" t="str">
        <f>IF(AND('Mapa final'!$Y$25="Media",'Mapa final'!$AA$25="Moderado"),CONCATENATE("R8C",'Mapa final'!$O$25),"")</f>
        <v/>
      </c>
      <c r="Z33" s="68" t="str">
        <f>IF(AND('Mapa final'!$Y$26="Media",'Mapa final'!$AA$26="Moderado"),CONCATENATE("R8C",'Mapa final'!$O$26),"")</f>
        <v/>
      </c>
      <c r="AA33" s="69" t="str">
        <f>IF(AND('Mapa final'!$Y$27="Media",'Mapa final'!$AA$27="Moderado"),CONCATENATE("R8C",'Mapa final'!$O$27),"")</f>
        <v/>
      </c>
      <c r="AB33" s="52" t="str">
        <f>IF(AND('Mapa final'!$Y$22="Media",'Mapa final'!$AA$22="Mayor"),CONCATENATE("R8C",'Mapa final'!$O$22),"")</f>
        <v/>
      </c>
      <c r="AC33" s="53" t="str">
        <f>IF(AND('Mapa final'!$Y$23="Media",'Mapa final'!$AA$23="Mayor"),CONCATENATE("R8C",'Mapa final'!$O$23),"")</f>
        <v/>
      </c>
      <c r="AD33" s="53" t="str">
        <f>IF(AND('Mapa final'!$Y$24="Media",'Mapa final'!$AA$24="Mayor"),CONCATENATE("R8C",'Mapa final'!$O$24),"")</f>
        <v/>
      </c>
      <c r="AE33" s="53" t="str">
        <f>IF(AND('Mapa final'!$Y$25="Media",'Mapa final'!$AA$25="Mayor"),CONCATENATE("R8C",'Mapa final'!$O$25),"")</f>
        <v/>
      </c>
      <c r="AF33" s="53" t="str">
        <f>IF(AND('Mapa final'!$Y$26="Media",'Mapa final'!$AA$26="Mayor"),CONCATENATE("R8C",'Mapa final'!$O$26),"")</f>
        <v/>
      </c>
      <c r="AG33" s="54" t="str">
        <f>IF(AND('Mapa final'!$Y$27="Media",'Mapa final'!$AA$27="Mayor"),CONCATENATE("R8C",'Mapa final'!$O$27),"")</f>
        <v/>
      </c>
      <c r="AH33" s="55" t="str">
        <f>IF(AND('Mapa final'!$Y$22="Media",'Mapa final'!$AA$22="Catastrófico"),CONCATENATE("R8C",'Mapa final'!$O$22),"")</f>
        <v/>
      </c>
      <c r="AI33" s="56" t="str">
        <f>IF(AND('Mapa final'!$Y$23="Media",'Mapa final'!$AA$23="Catastrófico"),CONCATENATE("R8C",'Mapa final'!$O$23),"")</f>
        <v/>
      </c>
      <c r="AJ33" s="56" t="str">
        <f>IF(AND('Mapa final'!$Y$24="Media",'Mapa final'!$AA$24="Catastrófico"),CONCATENATE("R8C",'Mapa final'!$O$24),"")</f>
        <v/>
      </c>
      <c r="AK33" s="56" t="str">
        <f>IF(AND('Mapa final'!$Y$25="Media",'Mapa final'!$AA$25="Catastrófico"),CONCATENATE("R8C",'Mapa final'!$O$25),"")</f>
        <v/>
      </c>
      <c r="AL33" s="56" t="str">
        <f>IF(AND('Mapa final'!$Y$26="Media",'Mapa final'!$AA$26="Catastrófico"),CONCATENATE("R8C",'Mapa final'!$O$26),"")</f>
        <v/>
      </c>
      <c r="AM33" s="57" t="str">
        <f>IF(AND('Mapa final'!$Y$27="Media",'Mapa final'!$AA$27="Catastrófico"),CONCATENATE("R8C",'Mapa final'!$O$27),"")</f>
        <v/>
      </c>
      <c r="AN33" s="83"/>
      <c r="AO33" s="377"/>
      <c r="AP33" s="378"/>
      <c r="AQ33" s="378"/>
      <c r="AR33" s="378"/>
      <c r="AS33" s="378"/>
      <c r="AT33" s="37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96"/>
      <c r="C34" s="296"/>
      <c r="D34" s="297"/>
      <c r="E34" s="337"/>
      <c r="F34" s="338"/>
      <c r="G34" s="338"/>
      <c r="H34" s="338"/>
      <c r="I34" s="339"/>
      <c r="J34" s="67" t="str">
        <f>IF(AND('Mapa final'!$Y$28="Media",'Mapa final'!$AA$28="Leve"),CONCATENATE("R9C",'Mapa final'!$O$28),"")</f>
        <v/>
      </c>
      <c r="K34" s="68" t="str">
        <f>IF(AND('Mapa final'!$Y$29="Media",'Mapa final'!$AA$29="Leve"),CONCATENATE("R9C",'Mapa final'!$O$29),"")</f>
        <v/>
      </c>
      <c r="L34" s="68" t="str">
        <f>IF(AND('Mapa final'!$Y$30="Media",'Mapa final'!$AA$30="Leve"),CONCATENATE("R9C",'Mapa final'!$O$30),"")</f>
        <v/>
      </c>
      <c r="M34" s="68" t="str">
        <f>IF(AND('Mapa final'!$Y$31="Media",'Mapa final'!$AA$31="Leve"),CONCATENATE("R9C",'Mapa final'!$O$31),"")</f>
        <v/>
      </c>
      <c r="N34" s="68" t="str">
        <f>IF(AND('Mapa final'!$Y$32="Media",'Mapa final'!$AA$32="Leve"),CONCATENATE("R9C",'Mapa final'!$O$32),"")</f>
        <v/>
      </c>
      <c r="O34" s="69" t="str">
        <f>IF(AND('Mapa final'!$Y$33="Media",'Mapa final'!$AA$33="Leve"),CONCATENATE("R9C",'Mapa final'!$O$33),"")</f>
        <v/>
      </c>
      <c r="P34" s="67" t="str">
        <f>IF(AND('Mapa final'!$Y$28="Media",'Mapa final'!$AA$28="Menor"),CONCATENATE("R9C",'Mapa final'!$O$28),"")</f>
        <v/>
      </c>
      <c r="Q34" s="68" t="str">
        <f>IF(AND('Mapa final'!$Y$29="Media",'Mapa final'!$AA$29="Menor"),CONCATENATE("R9C",'Mapa final'!$O$29),"")</f>
        <v/>
      </c>
      <c r="R34" s="68" t="str">
        <f>IF(AND('Mapa final'!$Y$30="Media",'Mapa final'!$AA$30="Menor"),CONCATENATE("R9C",'Mapa final'!$O$30),"")</f>
        <v/>
      </c>
      <c r="S34" s="68" t="str">
        <f>IF(AND('Mapa final'!$Y$31="Media",'Mapa final'!$AA$31="Menor"),CONCATENATE("R9C",'Mapa final'!$O$31),"")</f>
        <v/>
      </c>
      <c r="T34" s="68" t="str">
        <f>IF(AND('Mapa final'!$Y$32="Media",'Mapa final'!$AA$32="Menor"),CONCATENATE("R9C",'Mapa final'!$O$32),"")</f>
        <v/>
      </c>
      <c r="U34" s="69" t="str">
        <f>IF(AND('Mapa final'!$Y$33="Media",'Mapa final'!$AA$33="Menor"),CONCATENATE("R9C",'Mapa final'!$O$33),"")</f>
        <v/>
      </c>
      <c r="V34" s="67" t="str">
        <f>IF(AND('Mapa final'!$Y$28="Media",'Mapa final'!$AA$28="Moderado"),CONCATENATE("R9C",'Mapa final'!$O$28),"")</f>
        <v/>
      </c>
      <c r="W34" s="68" t="str">
        <f>IF(AND('Mapa final'!$Y$29="Media",'Mapa final'!$AA$29="Moderado"),CONCATENATE("R9C",'Mapa final'!$O$29),"")</f>
        <v/>
      </c>
      <c r="X34" s="68" t="str">
        <f>IF(AND('Mapa final'!$Y$30="Media",'Mapa final'!$AA$30="Moderado"),CONCATENATE("R9C",'Mapa final'!$O$30),"")</f>
        <v/>
      </c>
      <c r="Y34" s="68" t="str">
        <f>IF(AND('Mapa final'!$Y$31="Media",'Mapa final'!$AA$31="Moderado"),CONCATENATE("R9C",'Mapa final'!$O$31),"")</f>
        <v/>
      </c>
      <c r="Z34" s="68" t="str">
        <f>IF(AND('Mapa final'!$Y$32="Media",'Mapa final'!$AA$32="Moderado"),CONCATENATE("R9C",'Mapa final'!$O$32),"")</f>
        <v/>
      </c>
      <c r="AA34" s="69" t="str">
        <f>IF(AND('Mapa final'!$Y$33="Media",'Mapa final'!$AA$33="Moderado"),CONCATENATE("R9C",'Mapa final'!$O$33),"")</f>
        <v/>
      </c>
      <c r="AB34" s="52" t="str">
        <f>IF(AND('Mapa final'!$Y$28="Media",'Mapa final'!$AA$28="Mayor"),CONCATENATE("R9C",'Mapa final'!$O$28),"")</f>
        <v/>
      </c>
      <c r="AC34" s="53" t="str">
        <f>IF(AND('Mapa final'!$Y$29="Media",'Mapa final'!$AA$29="Mayor"),CONCATENATE("R9C",'Mapa final'!$O$29),"")</f>
        <v/>
      </c>
      <c r="AD34" s="53" t="str">
        <f>IF(AND('Mapa final'!$Y$30="Media",'Mapa final'!$AA$30="Mayor"),CONCATENATE("R9C",'Mapa final'!$O$30),"")</f>
        <v/>
      </c>
      <c r="AE34" s="53" t="str">
        <f>IF(AND('Mapa final'!$Y$31="Media",'Mapa final'!$AA$31="Mayor"),CONCATENATE("R9C",'Mapa final'!$O$31),"")</f>
        <v/>
      </c>
      <c r="AF34" s="53" t="str">
        <f>IF(AND('Mapa final'!$Y$32="Media",'Mapa final'!$AA$32="Mayor"),CONCATENATE("R9C",'Mapa final'!$O$32),"")</f>
        <v/>
      </c>
      <c r="AG34" s="54" t="str">
        <f>IF(AND('Mapa final'!$Y$33="Media",'Mapa final'!$AA$33="Mayor"),CONCATENATE("R9C",'Mapa final'!$O$33),"")</f>
        <v/>
      </c>
      <c r="AH34" s="55" t="str">
        <f>IF(AND('Mapa final'!$Y$28="Media",'Mapa final'!$AA$28="Catastrófico"),CONCATENATE("R9C",'Mapa final'!$O$28),"")</f>
        <v/>
      </c>
      <c r="AI34" s="56" t="str">
        <f>IF(AND('Mapa final'!$Y$29="Media",'Mapa final'!$AA$29="Catastrófico"),CONCATENATE("R9C",'Mapa final'!$O$29),"")</f>
        <v/>
      </c>
      <c r="AJ34" s="56" t="str">
        <f>IF(AND('Mapa final'!$Y$30="Media",'Mapa final'!$AA$30="Catastrófico"),CONCATENATE("R9C",'Mapa final'!$O$30),"")</f>
        <v/>
      </c>
      <c r="AK34" s="56" t="str">
        <f>IF(AND('Mapa final'!$Y$31="Media",'Mapa final'!$AA$31="Catastrófico"),CONCATENATE("R9C",'Mapa final'!$O$31),"")</f>
        <v/>
      </c>
      <c r="AL34" s="56" t="str">
        <f>IF(AND('Mapa final'!$Y$32="Media",'Mapa final'!$AA$32="Catastrófico"),CONCATENATE("R9C",'Mapa final'!$O$32),"")</f>
        <v/>
      </c>
      <c r="AM34" s="57" t="str">
        <f>IF(AND('Mapa final'!$Y$33="Media",'Mapa final'!$AA$33="Catastrófico"),CONCATENATE("R9C",'Mapa final'!$O$33),"")</f>
        <v/>
      </c>
      <c r="AN34" s="83"/>
      <c r="AO34" s="377"/>
      <c r="AP34" s="378"/>
      <c r="AQ34" s="378"/>
      <c r="AR34" s="378"/>
      <c r="AS34" s="378"/>
      <c r="AT34" s="37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96"/>
      <c r="C35" s="296"/>
      <c r="D35" s="297"/>
      <c r="E35" s="340"/>
      <c r="F35" s="341"/>
      <c r="G35" s="341"/>
      <c r="H35" s="341"/>
      <c r="I35" s="342"/>
      <c r="J35" s="67" t="str">
        <f>IF(AND('Mapa final'!$Y$34="Media",'Mapa final'!$AA$34="Leve"),CONCATENATE("R10C",'Mapa final'!$O$34),"")</f>
        <v/>
      </c>
      <c r="K35" s="68" t="str">
        <f>IF(AND('Mapa final'!$Y$35="Media",'Mapa final'!$AA$35="Leve"),CONCATENATE("R10C",'Mapa final'!$O$35),"")</f>
        <v/>
      </c>
      <c r="L35" s="68" t="str">
        <f>IF(AND('Mapa final'!$Y$36="Media",'Mapa final'!$AA$36="Leve"),CONCATENATE("R10C",'Mapa final'!$O$36),"")</f>
        <v/>
      </c>
      <c r="M35" s="68" t="str">
        <f>IF(AND('Mapa final'!$Y$37="Media",'Mapa final'!$AA$37="Leve"),CONCATENATE("R10C",'Mapa final'!$O$37),"")</f>
        <v/>
      </c>
      <c r="N35" s="68" t="str">
        <f>IF(AND('Mapa final'!$Y$38="Media",'Mapa final'!$AA$38="Leve"),CONCATENATE("R10C",'Mapa final'!$O$38),"")</f>
        <v/>
      </c>
      <c r="O35" s="69" t="str">
        <f>IF(AND('Mapa final'!$Y$39="Media",'Mapa final'!$AA$39="Leve"),CONCATENATE("R10C",'Mapa final'!$O$39),"")</f>
        <v/>
      </c>
      <c r="P35" s="67" t="str">
        <f>IF(AND('Mapa final'!$Y$34="Media",'Mapa final'!$AA$34="Menor"),CONCATENATE("R10C",'Mapa final'!$O$34),"")</f>
        <v/>
      </c>
      <c r="Q35" s="68" t="str">
        <f>IF(AND('Mapa final'!$Y$35="Media",'Mapa final'!$AA$35="Menor"),CONCATENATE("R10C",'Mapa final'!$O$35),"")</f>
        <v/>
      </c>
      <c r="R35" s="68" t="str">
        <f>IF(AND('Mapa final'!$Y$36="Media",'Mapa final'!$AA$36="Menor"),CONCATENATE("R10C",'Mapa final'!$O$36),"")</f>
        <v/>
      </c>
      <c r="S35" s="68" t="str">
        <f>IF(AND('Mapa final'!$Y$37="Media",'Mapa final'!$AA$37="Menor"),CONCATENATE("R10C",'Mapa final'!$O$37),"")</f>
        <v/>
      </c>
      <c r="T35" s="68" t="str">
        <f>IF(AND('Mapa final'!$Y$38="Media",'Mapa final'!$AA$38="Menor"),CONCATENATE("R10C",'Mapa final'!$O$38),"")</f>
        <v/>
      </c>
      <c r="U35" s="69" t="str">
        <f>IF(AND('Mapa final'!$Y$39="Media",'Mapa final'!$AA$39="Menor"),CONCATENATE("R10C",'Mapa final'!$O$39),"")</f>
        <v/>
      </c>
      <c r="V35" s="67" t="str">
        <f>IF(AND('Mapa final'!$Y$34="Media",'Mapa final'!$AA$34="Moderado"),CONCATENATE("R10C",'Mapa final'!$O$34),"")</f>
        <v/>
      </c>
      <c r="W35" s="68" t="str">
        <f>IF(AND('Mapa final'!$Y$35="Media",'Mapa final'!$AA$35="Moderado"),CONCATENATE("R10C",'Mapa final'!$O$35),"")</f>
        <v/>
      </c>
      <c r="X35" s="68" t="str">
        <f>IF(AND('Mapa final'!$Y$36="Media",'Mapa final'!$AA$36="Moderado"),CONCATENATE("R10C",'Mapa final'!$O$36),"")</f>
        <v/>
      </c>
      <c r="Y35" s="68" t="str">
        <f>IF(AND('Mapa final'!$Y$37="Media",'Mapa final'!$AA$37="Moderado"),CONCATENATE("R10C",'Mapa final'!$O$37),"")</f>
        <v/>
      </c>
      <c r="Z35" s="68" t="str">
        <f>IF(AND('Mapa final'!$Y$38="Media",'Mapa final'!$AA$38="Moderado"),CONCATENATE("R10C",'Mapa final'!$O$38),"")</f>
        <v/>
      </c>
      <c r="AA35" s="69" t="str">
        <f>IF(AND('Mapa final'!$Y$39="Media",'Mapa final'!$AA$39="Moderado"),CONCATENATE("R10C",'Mapa final'!$O$39),"")</f>
        <v/>
      </c>
      <c r="AB35" s="58" t="str">
        <f>IF(AND('Mapa final'!$Y$34="Media",'Mapa final'!$AA$34="Mayor"),CONCATENATE("R10C",'Mapa final'!$O$34),"")</f>
        <v/>
      </c>
      <c r="AC35" s="59" t="str">
        <f>IF(AND('Mapa final'!$Y$35="Media",'Mapa final'!$AA$35="Mayor"),CONCATENATE("R10C",'Mapa final'!$O$35),"")</f>
        <v/>
      </c>
      <c r="AD35" s="59" t="str">
        <f>IF(AND('Mapa final'!$Y$36="Media",'Mapa final'!$AA$36="Mayor"),CONCATENATE("R10C",'Mapa final'!$O$36),"")</f>
        <v/>
      </c>
      <c r="AE35" s="59" t="str">
        <f>IF(AND('Mapa final'!$Y$37="Media",'Mapa final'!$AA$37="Mayor"),CONCATENATE("R10C",'Mapa final'!$O$37),"")</f>
        <v/>
      </c>
      <c r="AF35" s="59" t="str">
        <f>IF(AND('Mapa final'!$Y$38="Media",'Mapa final'!$AA$38="Mayor"),CONCATENATE("R10C",'Mapa final'!$O$38),"")</f>
        <v/>
      </c>
      <c r="AG35" s="60" t="str">
        <f>IF(AND('Mapa final'!$Y$39="Media",'Mapa final'!$AA$39="Mayor"),CONCATENATE("R10C",'Mapa final'!$O$39),"")</f>
        <v/>
      </c>
      <c r="AH35" s="61" t="str">
        <f>IF(AND('Mapa final'!$Y$34="Media",'Mapa final'!$AA$34="Catastrófico"),CONCATENATE("R10C",'Mapa final'!$O$34),"")</f>
        <v/>
      </c>
      <c r="AI35" s="62" t="str">
        <f>IF(AND('Mapa final'!$Y$35="Media",'Mapa final'!$AA$35="Catastrófico"),CONCATENATE("R10C",'Mapa final'!$O$35),"")</f>
        <v/>
      </c>
      <c r="AJ35" s="62" t="str">
        <f>IF(AND('Mapa final'!$Y$36="Media",'Mapa final'!$AA$36="Catastrófico"),CONCATENATE("R10C",'Mapa final'!$O$36),"")</f>
        <v/>
      </c>
      <c r="AK35" s="62" t="str">
        <f>IF(AND('Mapa final'!$Y$37="Media",'Mapa final'!$AA$37="Catastrófico"),CONCATENATE("R10C",'Mapa final'!$O$37),"")</f>
        <v/>
      </c>
      <c r="AL35" s="62" t="str">
        <f>IF(AND('Mapa final'!$Y$38="Media",'Mapa final'!$AA$38="Catastrófico"),CONCATENATE("R10C",'Mapa final'!$O$38),"")</f>
        <v/>
      </c>
      <c r="AM35" s="63" t="str">
        <f>IF(AND('Mapa final'!$Y$39="Media",'Mapa final'!$AA$39="Catastrófico"),CONCATENATE("R10C",'Mapa final'!$O$39),"")</f>
        <v/>
      </c>
      <c r="AN35" s="83"/>
      <c r="AO35" s="380"/>
      <c r="AP35" s="381"/>
      <c r="AQ35" s="381"/>
      <c r="AR35" s="381"/>
      <c r="AS35" s="381"/>
      <c r="AT35" s="38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96"/>
      <c r="C36" s="296"/>
      <c r="D36" s="297"/>
      <c r="E36" s="334" t="s">
        <v>114</v>
      </c>
      <c r="F36" s="335"/>
      <c r="G36" s="335"/>
      <c r="H36" s="335"/>
      <c r="I36" s="335"/>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R1C1</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5" t="s">
        <v>82</v>
      </c>
      <c r="AP36" s="366"/>
      <c r="AQ36" s="366"/>
      <c r="AR36" s="366"/>
      <c r="AS36" s="366"/>
      <c r="AT36" s="36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96"/>
      <c r="C37" s="296"/>
      <c r="D37" s="297"/>
      <c r="E37" s="353"/>
      <c r="F37" s="338"/>
      <c r="G37" s="338"/>
      <c r="H37" s="338"/>
      <c r="I37" s="338"/>
      <c r="J37" s="76" t="str">
        <f>IF(AND('Mapa final'!$Y$11="Baja",'Mapa final'!$AA$11="Leve"),CONCATENATE("R2C",'Mapa final'!$O$11),"")</f>
        <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IF(AND('Mapa final'!$Y$11="Baja",'Mapa final'!$AA$11="Menor"),CONCATENATE("R2C",'Mapa final'!$O$11),"")</f>
        <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IF(AND('Mapa final'!$Y$11="Baja",'Mapa final'!$AA$11="Moderado"),CONCATENATE("R2C",'Mapa final'!$O$11),"")</f>
        <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68"/>
      <c r="AP37" s="369"/>
      <c r="AQ37" s="369"/>
      <c r="AR37" s="369"/>
      <c r="AS37" s="369"/>
      <c r="AT37" s="37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96"/>
      <c r="C38" s="296"/>
      <c r="D38" s="297"/>
      <c r="E38" s="337"/>
      <c r="F38" s="338"/>
      <c r="G38" s="338"/>
      <c r="H38" s="338"/>
      <c r="I38" s="338"/>
      <c r="J38" s="76" t="str">
        <f>IF(AND('Mapa final'!$Y$12="Baja",'Mapa final'!$AA$12="Leve"),CONCATENATE("R3C",'Mapa final'!$O$12),"")</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final'!$Y$12="Baja",'Mapa final'!$AA$12="Menor"),CONCATENATE("R3C",'Mapa final'!$O$12),"")</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final'!$Y$12="Baja",'Mapa final'!$AA$12="Moderado"),CONCATENATE("R3C",'Mapa final'!$O$12),"")</f>
        <v>R3C1</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68"/>
      <c r="AP38" s="369"/>
      <c r="AQ38" s="369"/>
      <c r="AR38" s="369"/>
      <c r="AS38" s="369"/>
      <c r="AT38" s="37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96"/>
      <c r="C39" s="296"/>
      <c r="D39" s="297"/>
      <c r="E39" s="337"/>
      <c r="F39" s="338"/>
      <c r="G39" s="338"/>
      <c r="H39" s="338"/>
      <c r="I39" s="338"/>
      <c r="J39" s="76" t="str">
        <f>IF(AND('Mapa final'!$Y$13="Baja",'Mapa final'!$AA$13="Leve"),CONCATENATE("R4C",'Mapa final'!$O$13),"")</f>
        <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str">
        <f>IF(AND('Mapa final'!$Y$13="Baja",'Mapa final'!$AA$13="Menor"),CONCATENATE("R4C",'Mapa final'!$O$13),"")</f>
        <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str">
        <f>IF(AND('Mapa final'!$Y$13="Baja",'Mapa final'!$AA$13="Moderado"),CONCATENATE("R4C",'Mapa final'!$O$13),"")</f>
        <v>R4C1</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str">
        <f>IF(AND('Mapa final'!$Y$13="Baja",'Mapa final'!$AA$13="Mayor"),CONCATENATE("R4C",'Mapa final'!$O$13),"")</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final'!$Y$13="Baja",'Mapa final'!$AA$13="Catastrófico"),CONCATENATE("R4C",'Mapa final'!$O$13),"")</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68"/>
      <c r="AP39" s="369"/>
      <c r="AQ39" s="369"/>
      <c r="AR39" s="369"/>
      <c r="AS39" s="369"/>
      <c r="AT39" s="37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96"/>
      <c r="C40" s="296"/>
      <c r="D40" s="297"/>
      <c r="E40" s="337"/>
      <c r="F40" s="338"/>
      <c r="G40" s="338"/>
      <c r="H40" s="338"/>
      <c r="I40" s="338"/>
      <c r="J40" s="76" t="str">
        <f>IF(AND('Mapa final'!$Y$14="Baja",'Mapa final'!$AA$14="Leve"),CONCATENATE("R5C",'Mapa final'!$O$14),"")</f>
        <v/>
      </c>
      <c r="K40" s="77" t="e">
        <f>IF(AND('Mapa final'!#REF!="Baja",'Mapa final'!#REF!="Leve"),CONCATENATE("R5C",'Mapa final'!#REF!),"")</f>
        <v>#REF!</v>
      </c>
      <c r="L40" s="77" t="e">
        <f>IF(AND('Mapa final'!#REF!="Baja",'Mapa final'!#REF!="Leve"),CONCATENATE("R5C",'Mapa final'!#REF!),"")</f>
        <v>#REF!</v>
      </c>
      <c r="M40" s="77" t="e">
        <f>IF(AND('Mapa final'!#REF!="Baja",'Mapa final'!#REF!="Leve"),CONCATENATE("R5C",'Mapa final'!#REF!),"")</f>
        <v>#REF!</v>
      </c>
      <c r="N40" s="77" t="e">
        <f>IF(AND('Mapa final'!#REF!="Baja",'Mapa final'!#REF!="Leve"),CONCATENATE("R5C",'Mapa final'!#REF!),"")</f>
        <v>#REF!</v>
      </c>
      <c r="O40" s="78" t="e">
        <f>IF(AND('Mapa final'!#REF!="Baja",'Mapa final'!#REF!="Leve"),CONCATENATE("R5C",'Mapa final'!#REF!),"")</f>
        <v>#REF!</v>
      </c>
      <c r="P40" s="67" t="str">
        <f>IF(AND('Mapa final'!$Y$14="Baja",'Mapa final'!$AA$14="Menor"),CONCATENATE("R5C",'Mapa final'!$O$14),"")</f>
        <v/>
      </c>
      <c r="Q40" s="68" t="e">
        <f>IF(AND('Mapa final'!#REF!="Baja",'Mapa final'!#REF!="Menor"),CONCATENATE("R5C",'Mapa final'!#REF!),"")</f>
        <v>#REF!</v>
      </c>
      <c r="R40" s="68" t="e">
        <f>IF(AND('Mapa final'!#REF!="Baja",'Mapa final'!#REF!="Menor"),CONCATENATE("R5C",'Mapa final'!#REF!),"")</f>
        <v>#REF!</v>
      </c>
      <c r="S40" s="68" t="e">
        <f>IF(AND('Mapa final'!#REF!="Baja",'Mapa final'!#REF!="Menor"),CONCATENATE("R5C",'Mapa final'!#REF!),"")</f>
        <v>#REF!</v>
      </c>
      <c r="T40" s="68" t="e">
        <f>IF(AND('Mapa final'!#REF!="Baja",'Mapa final'!#REF!="Menor"),CONCATENATE("R5C",'Mapa final'!#REF!),"")</f>
        <v>#REF!</v>
      </c>
      <c r="U40" s="69" t="e">
        <f>IF(AND('Mapa final'!#REF!="Baja",'Mapa final'!#REF!="Menor"),CONCATENATE("R5C",'Mapa final'!#REF!),"")</f>
        <v>#REF!</v>
      </c>
      <c r="V40" s="67" t="str">
        <f>IF(AND('Mapa final'!$Y$14="Baja",'Mapa final'!$AA$14="Moderado"),CONCATENATE("R5C",'Mapa final'!$O$14),"")</f>
        <v>R5C1</v>
      </c>
      <c r="W40" s="68" t="e">
        <f>IF(AND('Mapa final'!#REF!="Baja",'Mapa final'!#REF!="Moderado"),CONCATENATE("R5C",'Mapa final'!#REF!),"")</f>
        <v>#REF!</v>
      </c>
      <c r="X40" s="68" t="e">
        <f>IF(AND('Mapa final'!#REF!="Baja",'Mapa final'!#REF!="Moderado"),CONCATENATE("R5C",'Mapa final'!#REF!),"")</f>
        <v>#REF!</v>
      </c>
      <c r="Y40" s="68" t="e">
        <f>IF(AND('Mapa final'!#REF!="Baja",'Mapa final'!#REF!="Moderado"),CONCATENATE("R5C",'Mapa final'!#REF!),"")</f>
        <v>#REF!</v>
      </c>
      <c r="Z40" s="68" t="e">
        <f>IF(AND('Mapa final'!#REF!="Baja",'Mapa final'!#REF!="Moderado"),CONCATENATE("R5C",'Mapa final'!#REF!),"")</f>
        <v>#REF!</v>
      </c>
      <c r="AA40" s="69" t="e">
        <f>IF(AND('Mapa final'!#REF!="Baja",'Mapa final'!#REF!="Moderado"),CONCATENATE("R5C",'Mapa final'!#REF!),"")</f>
        <v>#REF!</v>
      </c>
      <c r="AB40" s="52" t="str">
        <f>IF(AND('Mapa final'!$Y$14="Baja",'Mapa final'!$AA$14="Mayor"),CONCATENATE("R5C",'Mapa final'!$O$14),"")</f>
        <v/>
      </c>
      <c r="AC40" s="53" t="e">
        <f>IF(AND('Mapa final'!#REF!="Baja",'Mapa final'!#REF!="Mayor"),CONCATENATE("R5C",'Mapa final'!#REF!),"")</f>
        <v>#REF!</v>
      </c>
      <c r="AD40" s="53" t="e">
        <f>IF(AND('Mapa final'!#REF!="Baja",'Mapa final'!#REF!="Mayor"),CONCATENATE("R5C",'Mapa final'!#REF!),"")</f>
        <v>#REF!</v>
      </c>
      <c r="AE40" s="53" t="e">
        <f>IF(AND('Mapa final'!#REF!="Baja",'Mapa final'!#REF!="Mayor"),CONCATENATE("R5C",'Mapa final'!#REF!),"")</f>
        <v>#REF!</v>
      </c>
      <c r="AF40" s="53" t="e">
        <f>IF(AND('Mapa final'!#REF!="Baja",'Mapa final'!#REF!="Mayor"),CONCATENATE("R5C",'Mapa final'!#REF!),"")</f>
        <v>#REF!</v>
      </c>
      <c r="AG40" s="54" t="e">
        <f>IF(AND('Mapa final'!#REF!="Baja",'Mapa final'!#REF!="Mayor"),CONCATENATE("R5C",'Mapa final'!#REF!),"")</f>
        <v>#REF!</v>
      </c>
      <c r="AH40" s="55" t="str">
        <f>IF(AND('Mapa final'!$Y$14="Baja",'Mapa final'!$AA$14="Catastrófico"),CONCATENATE("R5C",'Mapa final'!$O$14),"")</f>
        <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3"/>
      <c r="AO40" s="368"/>
      <c r="AP40" s="369"/>
      <c r="AQ40" s="369"/>
      <c r="AR40" s="369"/>
      <c r="AS40" s="369"/>
      <c r="AT40" s="37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96"/>
      <c r="C41" s="296"/>
      <c r="D41" s="297"/>
      <c r="E41" s="337"/>
      <c r="F41" s="338"/>
      <c r="G41" s="338"/>
      <c r="H41" s="338"/>
      <c r="I41" s="338"/>
      <c r="J41" s="76" t="str">
        <f>IF(AND('Mapa final'!$Y$15="Baja",'Mapa final'!$AA$15="Leve"),CONCATENATE("R6C",'Mapa final'!$O$15),"")</f>
        <v/>
      </c>
      <c r="K41" s="77" t="e">
        <f>IF(AND('Mapa final'!#REF!="Baja",'Mapa final'!#REF!="Leve"),CONCATENATE("R6C",'Mapa final'!#REF!),"")</f>
        <v>#REF!</v>
      </c>
      <c r="L41" s="77" t="e">
        <f>IF(AND('Mapa final'!#REF!="Baja",'Mapa final'!#REF!="Leve"),CONCATENATE("R6C",'Mapa final'!#REF!),"")</f>
        <v>#REF!</v>
      </c>
      <c r="M41" s="77" t="e">
        <f>IF(AND('Mapa final'!#REF!="Baja",'Mapa final'!#REF!="Leve"),CONCATENATE("R6C",'Mapa final'!#REF!),"")</f>
        <v>#REF!</v>
      </c>
      <c r="N41" s="77" t="e">
        <f>IF(AND('Mapa final'!#REF!="Baja",'Mapa final'!#REF!="Leve"),CONCATENATE("R6C",'Mapa final'!#REF!),"")</f>
        <v>#REF!</v>
      </c>
      <c r="O41" s="78" t="e">
        <f>IF(AND('Mapa final'!#REF!="Baja",'Mapa final'!#REF!="Leve"),CONCATENATE("R6C",'Mapa final'!#REF!),"")</f>
        <v>#REF!</v>
      </c>
      <c r="P41" s="67" t="str">
        <f>IF(AND('Mapa final'!$Y$15="Baja",'Mapa final'!$AA$15="Menor"),CONCATENATE("R6C",'Mapa final'!$O$15),"")</f>
        <v/>
      </c>
      <c r="Q41" s="68" t="e">
        <f>IF(AND('Mapa final'!#REF!="Baja",'Mapa final'!#REF!="Menor"),CONCATENATE("R6C",'Mapa final'!#REF!),"")</f>
        <v>#REF!</v>
      </c>
      <c r="R41" s="68" t="e">
        <f>IF(AND('Mapa final'!#REF!="Baja",'Mapa final'!#REF!="Menor"),CONCATENATE("R6C",'Mapa final'!#REF!),"")</f>
        <v>#REF!</v>
      </c>
      <c r="S41" s="68" t="e">
        <f>IF(AND('Mapa final'!#REF!="Baja",'Mapa final'!#REF!="Menor"),CONCATENATE("R6C",'Mapa final'!#REF!),"")</f>
        <v>#REF!</v>
      </c>
      <c r="T41" s="68" t="e">
        <f>IF(AND('Mapa final'!#REF!="Baja",'Mapa final'!#REF!="Menor"),CONCATENATE("R6C",'Mapa final'!#REF!),"")</f>
        <v>#REF!</v>
      </c>
      <c r="U41" s="69" t="e">
        <f>IF(AND('Mapa final'!#REF!="Baja",'Mapa final'!#REF!="Menor"),CONCATENATE("R6C",'Mapa final'!#REF!),"")</f>
        <v>#REF!</v>
      </c>
      <c r="V41" s="67" t="str">
        <f>IF(AND('Mapa final'!$Y$15="Baja",'Mapa final'!$AA$15="Moderado"),CONCATENATE("R6C",'Mapa final'!$O$15),"")</f>
        <v>R6C1</v>
      </c>
      <c r="W41" s="68" t="e">
        <f>IF(AND('Mapa final'!#REF!="Baja",'Mapa final'!#REF!="Moderado"),CONCATENATE("R6C",'Mapa final'!#REF!),"")</f>
        <v>#REF!</v>
      </c>
      <c r="X41" s="68" t="e">
        <f>IF(AND('Mapa final'!#REF!="Baja",'Mapa final'!#REF!="Moderado"),CONCATENATE("R6C",'Mapa final'!#REF!),"")</f>
        <v>#REF!</v>
      </c>
      <c r="Y41" s="68" t="e">
        <f>IF(AND('Mapa final'!#REF!="Baja",'Mapa final'!#REF!="Moderado"),CONCATENATE("R6C",'Mapa final'!#REF!),"")</f>
        <v>#REF!</v>
      </c>
      <c r="Z41" s="68" t="e">
        <f>IF(AND('Mapa final'!#REF!="Baja",'Mapa final'!#REF!="Moderado"),CONCATENATE("R6C",'Mapa final'!#REF!),"")</f>
        <v>#REF!</v>
      </c>
      <c r="AA41" s="69" t="e">
        <f>IF(AND('Mapa final'!#REF!="Baja",'Mapa final'!#REF!="Moderado"),CONCATENATE("R6C",'Mapa final'!#REF!),"")</f>
        <v>#REF!</v>
      </c>
      <c r="AB41" s="52" t="str">
        <f>IF(AND('Mapa final'!$Y$15="Baja",'Mapa final'!$AA$15="Mayor"),CONCATENATE("R6C",'Mapa final'!$O$15),"")</f>
        <v/>
      </c>
      <c r="AC41" s="53" t="e">
        <f>IF(AND('Mapa final'!#REF!="Baja",'Mapa final'!#REF!="Mayor"),CONCATENATE("R6C",'Mapa final'!#REF!),"")</f>
        <v>#REF!</v>
      </c>
      <c r="AD41" s="53" t="e">
        <f>IF(AND('Mapa final'!#REF!="Baja",'Mapa final'!#REF!="Mayor"),CONCATENATE("R6C",'Mapa final'!#REF!),"")</f>
        <v>#REF!</v>
      </c>
      <c r="AE41" s="53" t="e">
        <f>IF(AND('Mapa final'!#REF!="Baja",'Mapa final'!#REF!="Mayor"),CONCATENATE("R6C",'Mapa final'!#REF!),"")</f>
        <v>#REF!</v>
      </c>
      <c r="AF41" s="53" t="e">
        <f>IF(AND('Mapa final'!#REF!="Baja",'Mapa final'!#REF!="Mayor"),CONCATENATE("R6C",'Mapa final'!#REF!),"")</f>
        <v>#REF!</v>
      </c>
      <c r="AG41" s="54" t="e">
        <f>IF(AND('Mapa final'!#REF!="Baja",'Mapa final'!#REF!="Mayor"),CONCATENATE("R6C",'Mapa final'!#REF!),"")</f>
        <v>#REF!</v>
      </c>
      <c r="AH41" s="55" t="str">
        <f>IF(AND('Mapa final'!$Y$15="Baja",'Mapa final'!$AA$15="Catastrófico"),CONCATENATE("R6C",'Mapa final'!$O$15),"")</f>
        <v/>
      </c>
      <c r="AI41" s="56" t="e">
        <f>IF(AND('Mapa final'!#REF!="Baja",'Mapa final'!#REF!="Catastrófico"),CONCATENATE("R6C",'Mapa final'!#REF!),"")</f>
        <v>#REF!</v>
      </c>
      <c r="AJ41" s="56" t="e">
        <f>IF(AND('Mapa final'!#REF!="Baja",'Mapa final'!#REF!="Catastrófico"),CONCATENATE("R6C",'Mapa final'!#REF!),"")</f>
        <v>#REF!</v>
      </c>
      <c r="AK41" s="56" t="e">
        <f>IF(AND('Mapa final'!#REF!="Baja",'Mapa final'!#REF!="Catastrófico"),CONCATENATE("R6C",'Mapa final'!#REF!),"")</f>
        <v>#REF!</v>
      </c>
      <c r="AL41" s="56" t="e">
        <f>IF(AND('Mapa final'!#REF!="Baja",'Mapa final'!#REF!="Catastrófico"),CONCATENATE("R6C",'Mapa final'!#REF!),"")</f>
        <v>#REF!</v>
      </c>
      <c r="AM41" s="57" t="e">
        <f>IF(AND('Mapa final'!#REF!="Baja",'Mapa final'!#REF!="Catastrófico"),CONCATENATE("R6C",'Mapa final'!#REF!),"")</f>
        <v>#REF!</v>
      </c>
      <c r="AN41" s="83"/>
      <c r="AO41" s="368"/>
      <c r="AP41" s="369"/>
      <c r="AQ41" s="369"/>
      <c r="AR41" s="369"/>
      <c r="AS41" s="369"/>
      <c r="AT41" s="37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96"/>
      <c r="C42" s="296"/>
      <c r="D42" s="297"/>
      <c r="E42" s="337"/>
      <c r="F42" s="338"/>
      <c r="G42" s="338"/>
      <c r="H42" s="338"/>
      <c r="I42" s="338"/>
      <c r="J42" s="76" t="str">
        <f>IF(AND('Mapa final'!$Y$16="Baja",'Mapa final'!$AA$16="Leve"),CONCATENATE("R7C",'Mapa final'!$O$16),"")</f>
        <v/>
      </c>
      <c r="K42" s="77" t="str">
        <f>IF(AND('Mapa final'!$Y$17="Baja",'Mapa final'!$AA$17="Leve"),CONCATENATE("R7C",'Mapa final'!$O$17),"")</f>
        <v/>
      </c>
      <c r="L42" s="77" t="str">
        <f>IF(AND('Mapa final'!$Y$18="Baja",'Mapa final'!$AA$18="Leve"),CONCATENATE("R7C",'Mapa final'!$O$18),"")</f>
        <v/>
      </c>
      <c r="M42" s="77" t="str">
        <f>IF(AND('Mapa final'!$Y$19="Baja",'Mapa final'!$AA$19="Leve"),CONCATENATE("R7C",'Mapa final'!$O$19),"")</f>
        <v/>
      </c>
      <c r="N42" s="77" t="str">
        <f>IF(AND('Mapa final'!$Y$20="Baja",'Mapa final'!$AA$20="Leve"),CONCATENATE("R7C",'Mapa final'!$O$20),"")</f>
        <v/>
      </c>
      <c r="O42" s="78" t="str">
        <f>IF(AND('Mapa final'!$Y$21="Baja",'Mapa final'!$AA$21="Leve"),CONCATENATE("R7C",'Mapa final'!$O$21),"")</f>
        <v/>
      </c>
      <c r="P42" s="67" t="str">
        <f>IF(AND('Mapa final'!$Y$16="Baja",'Mapa final'!$AA$16="Menor"),CONCATENATE("R7C",'Mapa final'!$O$16),"")</f>
        <v/>
      </c>
      <c r="Q42" s="68" t="str">
        <f>IF(AND('Mapa final'!$Y$17="Baja",'Mapa final'!$AA$17="Menor"),CONCATENATE("R7C",'Mapa final'!$O$17),"")</f>
        <v/>
      </c>
      <c r="R42" s="68" t="str">
        <f>IF(AND('Mapa final'!$Y$18="Baja",'Mapa final'!$AA$18="Menor"),CONCATENATE("R7C",'Mapa final'!$O$18),"")</f>
        <v/>
      </c>
      <c r="S42" s="68" t="str">
        <f>IF(AND('Mapa final'!$Y$19="Baja",'Mapa final'!$AA$19="Menor"),CONCATENATE("R7C",'Mapa final'!$O$19),"")</f>
        <v/>
      </c>
      <c r="T42" s="68" t="str">
        <f>IF(AND('Mapa final'!$Y$20="Baja",'Mapa final'!$AA$20="Menor"),CONCATENATE("R7C",'Mapa final'!$O$20),"")</f>
        <v/>
      </c>
      <c r="U42" s="69" t="str">
        <f>IF(AND('Mapa final'!$Y$21="Baja",'Mapa final'!$AA$21="Menor"),CONCATENATE("R7C",'Mapa final'!$O$21),"")</f>
        <v/>
      </c>
      <c r="V42" s="67" t="str">
        <f>IF(AND('Mapa final'!$Y$16="Baja",'Mapa final'!$AA$16="Moderado"),CONCATENATE("R7C",'Mapa final'!$O$16),"")</f>
        <v/>
      </c>
      <c r="W42" s="68" t="str">
        <f>IF(AND('Mapa final'!$Y$17="Baja",'Mapa final'!$AA$17="Moderado"),CONCATENATE("R7C",'Mapa final'!$O$17),"")</f>
        <v/>
      </c>
      <c r="X42" s="68" t="str">
        <f>IF(AND('Mapa final'!$Y$18="Baja",'Mapa final'!$AA$18="Moderado"),CONCATENATE("R7C",'Mapa final'!$O$18),"")</f>
        <v/>
      </c>
      <c r="Y42" s="68" t="str">
        <f>IF(AND('Mapa final'!$Y$19="Baja",'Mapa final'!$AA$19="Moderado"),CONCATENATE("R7C",'Mapa final'!$O$19),"")</f>
        <v/>
      </c>
      <c r="Z42" s="68" t="str">
        <f>IF(AND('Mapa final'!$Y$20="Baja",'Mapa final'!$AA$20="Moderado"),CONCATENATE("R7C",'Mapa final'!$O$20),"")</f>
        <v/>
      </c>
      <c r="AA42" s="69" t="str">
        <f>IF(AND('Mapa final'!$Y$21="Baja",'Mapa final'!$AA$21="Moderado"),CONCATENATE("R7C",'Mapa final'!$O$21),"")</f>
        <v/>
      </c>
      <c r="AB42" s="52" t="str">
        <f>IF(AND('Mapa final'!$Y$16="Baja",'Mapa final'!$AA$16="Mayor"),CONCATENATE("R7C",'Mapa final'!$O$16),"")</f>
        <v/>
      </c>
      <c r="AC42" s="53" t="str">
        <f>IF(AND('Mapa final'!$Y$17="Baja",'Mapa final'!$AA$17="Mayor"),CONCATENATE("R7C",'Mapa final'!$O$17),"")</f>
        <v/>
      </c>
      <c r="AD42" s="53" t="str">
        <f>IF(AND('Mapa final'!$Y$18="Baja",'Mapa final'!$AA$18="Mayor"),CONCATENATE("R7C",'Mapa final'!$O$18),"")</f>
        <v/>
      </c>
      <c r="AE42" s="53" t="str">
        <f>IF(AND('Mapa final'!$Y$19="Baja",'Mapa final'!$AA$19="Mayor"),CONCATENATE("R7C",'Mapa final'!$O$19),"")</f>
        <v/>
      </c>
      <c r="AF42" s="53" t="str">
        <f>IF(AND('Mapa final'!$Y$20="Baja",'Mapa final'!$AA$20="Mayor"),CONCATENATE("R7C",'Mapa final'!$O$20),"")</f>
        <v/>
      </c>
      <c r="AG42" s="54" t="str">
        <f>IF(AND('Mapa final'!$Y$21="Baja",'Mapa final'!$AA$21="Mayor"),CONCATENATE("R7C",'Mapa final'!$O$21),"")</f>
        <v/>
      </c>
      <c r="AH42" s="55" t="str">
        <f>IF(AND('Mapa final'!$Y$16="Baja",'Mapa final'!$AA$16="Catastrófico"),CONCATENATE("R7C",'Mapa final'!$O$16),"")</f>
        <v/>
      </c>
      <c r="AI42" s="56" t="str">
        <f>IF(AND('Mapa final'!$Y$17="Baja",'Mapa final'!$AA$17="Catastrófico"),CONCATENATE("R7C",'Mapa final'!$O$17),"")</f>
        <v/>
      </c>
      <c r="AJ42" s="56" t="str">
        <f>IF(AND('Mapa final'!$Y$18="Baja",'Mapa final'!$AA$18="Catastrófico"),CONCATENATE("R7C",'Mapa final'!$O$18),"")</f>
        <v/>
      </c>
      <c r="AK42" s="56" t="str">
        <f>IF(AND('Mapa final'!$Y$19="Baja",'Mapa final'!$AA$19="Catastrófico"),CONCATENATE("R7C",'Mapa final'!$O$19),"")</f>
        <v/>
      </c>
      <c r="AL42" s="56" t="str">
        <f>IF(AND('Mapa final'!$Y$20="Baja",'Mapa final'!$AA$20="Catastrófico"),CONCATENATE("R7C",'Mapa final'!$O$20),"")</f>
        <v/>
      </c>
      <c r="AM42" s="57" t="str">
        <f>IF(AND('Mapa final'!$Y$21="Baja",'Mapa final'!$AA$21="Catastrófico"),CONCATENATE("R7C",'Mapa final'!$O$21),"")</f>
        <v/>
      </c>
      <c r="AN42" s="83"/>
      <c r="AO42" s="368"/>
      <c r="AP42" s="369"/>
      <c r="AQ42" s="369"/>
      <c r="AR42" s="369"/>
      <c r="AS42" s="369"/>
      <c r="AT42" s="37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96"/>
      <c r="C43" s="296"/>
      <c r="D43" s="297"/>
      <c r="E43" s="337"/>
      <c r="F43" s="338"/>
      <c r="G43" s="338"/>
      <c r="H43" s="338"/>
      <c r="I43" s="338"/>
      <c r="J43" s="76" t="str">
        <f>IF(AND('Mapa final'!$Y$22="Baja",'Mapa final'!$AA$22="Leve"),CONCATENATE("R8C",'Mapa final'!$O$22),"")</f>
        <v/>
      </c>
      <c r="K43" s="77" t="str">
        <f>IF(AND('Mapa final'!$Y$23="Baja",'Mapa final'!$AA$23="Leve"),CONCATENATE("R8C",'Mapa final'!$O$23),"")</f>
        <v/>
      </c>
      <c r="L43" s="77" t="str">
        <f>IF(AND('Mapa final'!$Y$24="Baja",'Mapa final'!$AA$24="Leve"),CONCATENATE("R8C",'Mapa final'!$O$24),"")</f>
        <v/>
      </c>
      <c r="M43" s="77" t="str">
        <f>IF(AND('Mapa final'!$Y$25="Baja",'Mapa final'!$AA$25="Leve"),CONCATENATE("R8C",'Mapa final'!$O$25),"")</f>
        <v/>
      </c>
      <c r="N43" s="77" t="str">
        <f>IF(AND('Mapa final'!$Y$26="Baja",'Mapa final'!$AA$26="Leve"),CONCATENATE("R8C",'Mapa final'!$O$26),"")</f>
        <v/>
      </c>
      <c r="O43" s="78" t="str">
        <f>IF(AND('Mapa final'!$Y$27="Baja",'Mapa final'!$AA$27="Leve"),CONCATENATE("R8C",'Mapa final'!$O$27),"")</f>
        <v/>
      </c>
      <c r="P43" s="67" t="str">
        <f>IF(AND('Mapa final'!$Y$22="Baja",'Mapa final'!$AA$22="Menor"),CONCATENATE("R8C",'Mapa final'!$O$22),"")</f>
        <v/>
      </c>
      <c r="Q43" s="68" t="str">
        <f>IF(AND('Mapa final'!$Y$23="Baja",'Mapa final'!$AA$23="Menor"),CONCATENATE("R8C",'Mapa final'!$O$23),"")</f>
        <v/>
      </c>
      <c r="R43" s="68" t="str">
        <f>IF(AND('Mapa final'!$Y$24="Baja",'Mapa final'!$AA$24="Menor"),CONCATENATE("R8C",'Mapa final'!$O$24),"")</f>
        <v/>
      </c>
      <c r="S43" s="68" t="str">
        <f>IF(AND('Mapa final'!$Y$25="Baja",'Mapa final'!$AA$25="Menor"),CONCATENATE("R8C",'Mapa final'!$O$25),"")</f>
        <v/>
      </c>
      <c r="T43" s="68" t="str">
        <f>IF(AND('Mapa final'!$Y$26="Baja",'Mapa final'!$AA$26="Menor"),CONCATENATE("R8C",'Mapa final'!$O$26),"")</f>
        <v/>
      </c>
      <c r="U43" s="69" t="str">
        <f>IF(AND('Mapa final'!$Y$27="Baja",'Mapa final'!$AA$27="Menor"),CONCATENATE("R8C",'Mapa final'!$O$27),"")</f>
        <v/>
      </c>
      <c r="V43" s="67" t="str">
        <f>IF(AND('Mapa final'!$Y$22="Baja",'Mapa final'!$AA$22="Moderado"),CONCATENATE("R8C",'Mapa final'!$O$22),"")</f>
        <v/>
      </c>
      <c r="W43" s="68" t="str">
        <f>IF(AND('Mapa final'!$Y$23="Baja",'Mapa final'!$AA$23="Moderado"),CONCATENATE("R8C",'Mapa final'!$O$23),"")</f>
        <v/>
      </c>
      <c r="X43" s="68" t="str">
        <f>IF(AND('Mapa final'!$Y$24="Baja",'Mapa final'!$AA$24="Moderado"),CONCATENATE("R8C",'Mapa final'!$O$24),"")</f>
        <v/>
      </c>
      <c r="Y43" s="68" t="str">
        <f>IF(AND('Mapa final'!$Y$25="Baja",'Mapa final'!$AA$25="Moderado"),CONCATENATE("R8C",'Mapa final'!$O$25),"")</f>
        <v/>
      </c>
      <c r="Z43" s="68" t="str">
        <f>IF(AND('Mapa final'!$Y$26="Baja",'Mapa final'!$AA$26="Moderado"),CONCATENATE("R8C",'Mapa final'!$O$26),"")</f>
        <v/>
      </c>
      <c r="AA43" s="69" t="str">
        <f>IF(AND('Mapa final'!$Y$27="Baja",'Mapa final'!$AA$27="Moderado"),CONCATENATE("R8C",'Mapa final'!$O$27),"")</f>
        <v/>
      </c>
      <c r="AB43" s="52" t="str">
        <f>IF(AND('Mapa final'!$Y$22="Baja",'Mapa final'!$AA$22="Mayor"),CONCATENATE("R8C",'Mapa final'!$O$22),"")</f>
        <v/>
      </c>
      <c r="AC43" s="53" t="str">
        <f>IF(AND('Mapa final'!$Y$23="Baja",'Mapa final'!$AA$23="Mayor"),CONCATENATE("R8C",'Mapa final'!$O$23),"")</f>
        <v/>
      </c>
      <c r="AD43" s="53" t="str">
        <f>IF(AND('Mapa final'!$Y$24="Baja",'Mapa final'!$AA$24="Mayor"),CONCATENATE("R8C",'Mapa final'!$O$24),"")</f>
        <v/>
      </c>
      <c r="AE43" s="53" t="str">
        <f>IF(AND('Mapa final'!$Y$25="Baja",'Mapa final'!$AA$25="Mayor"),CONCATENATE("R8C",'Mapa final'!$O$25),"")</f>
        <v/>
      </c>
      <c r="AF43" s="53" t="str">
        <f>IF(AND('Mapa final'!$Y$26="Baja",'Mapa final'!$AA$26="Mayor"),CONCATENATE("R8C",'Mapa final'!$O$26),"")</f>
        <v/>
      </c>
      <c r="AG43" s="54" t="str">
        <f>IF(AND('Mapa final'!$Y$27="Baja",'Mapa final'!$AA$27="Mayor"),CONCATENATE("R8C",'Mapa final'!$O$27),"")</f>
        <v/>
      </c>
      <c r="AH43" s="55" t="str">
        <f>IF(AND('Mapa final'!$Y$22="Baja",'Mapa final'!$AA$22="Catastrófico"),CONCATENATE("R8C",'Mapa final'!$O$22),"")</f>
        <v/>
      </c>
      <c r="AI43" s="56" t="str">
        <f>IF(AND('Mapa final'!$Y$23="Baja",'Mapa final'!$AA$23="Catastrófico"),CONCATENATE("R8C",'Mapa final'!$O$23),"")</f>
        <v/>
      </c>
      <c r="AJ43" s="56" t="str">
        <f>IF(AND('Mapa final'!$Y$24="Baja",'Mapa final'!$AA$24="Catastrófico"),CONCATENATE("R8C",'Mapa final'!$O$24),"")</f>
        <v/>
      </c>
      <c r="AK43" s="56" t="str">
        <f>IF(AND('Mapa final'!$Y$25="Baja",'Mapa final'!$AA$25="Catastrófico"),CONCATENATE("R8C",'Mapa final'!$O$25),"")</f>
        <v/>
      </c>
      <c r="AL43" s="56" t="str">
        <f>IF(AND('Mapa final'!$Y$26="Baja",'Mapa final'!$AA$26="Catastrófico"),CONCATENATE("R8C",'Mapa final'!$O$26),"")</f>
        <v/>
      </c>
      <c r="AM43" s="57" t="str">
        <f>IF(AND('Mapa final'!$Y$27="Baja",'Mapa final'!$AA$27="Catastrófico"),CONCATENATE("R8C",'Mapa final'!$O$27),"")</f>
        <v/>
      </c>
      <c r="AN43" s="83"/>
      <c r="AO43" s="368"/>
      <c r="AP43" s="369"/>
      <c r="AQ43" s="369"/>
      <c r="AR43" s="369"/>
      <c r="AS43" s="369"/>
      <c r="AT43" s="37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96"/>
      <c r="C44" s="296"/>
      <c r="D44" s="297"/>
      <c r="E44" s="337"/>
      <c r="F44" s="338"/>
      <c r="G44" s="338"/>
      <c r="H44" s="338"/>
      <c r="I44" s="338"/>
      <c r="J44" s="76" t="str">
        <f>IF(AND('Mapa final'!$Y$28="Baja",'Mapa final'!$AA$28="Leve"),CONCATENATE("R9C",'Mapa final'!$O$28),"")</f>
        <v/>
      </c>
      <c r="K44" s="77" t="str">
        <f>IF(AND('Mapa final'!$Y$29="Baja",'Mapa final'!$AA$29="Leve"),CONCATENATE("R9C",'Mapa final'!$O$29),"")</f>
        <v/>
      </c>
      <c r="L44" s="77" t="str">
        <f>IF(AND('Mapa final'!$Y$30="Baja",'Mapa final'!$AA$30="Leve"),CONCATENATE("R9C",'Mapa final'!$O$30),"")</f>
        <v/>
      </c>
      <c r="M44" s="77" t="str">
        <f>IF(AND('Mapa final'!$Y$31="Baja",'Mapa final'!$AA$31="Leve"),CONCATENATE("R9C",'Mapa final'!$O$31),"")</f>
        <v/>
      </c>
      <c r="N44" s="77" t="str">
        <f>IF(AND('Mapa final'!$Y$32="Baja",'Mapa final'!$AA$32="Leve"),CONCATENATE("R9C",'Mapa final'!$O$32),"")</f>
        <v/>
      </c>
      <c r="O44" s="78" t="str">
        <f>IF(AND('Mapa final'!$Y$33="Baja",'Mapa final'!$AA$33="Leve"),CONCATENATE("R9C",'Mapa final'!$O$33),"")</f>
        <v/>
      </c>
      <c r="P44" s="67" t="str">
        <f>IF(AND('Mapa final'!$Y$28="Baja",'Mapa final'!$AA$28="Menor"),CONCATENATE("R9C",'Mapa final'!$O$28),"")</f>
        <v/>
      </c>
      <c r="Q44" s="68" t="str">
        <f>IF(AND('Mapa final'!$Y$29="Baja",'Mapa final'!$AA$29="Menor"),CONCATENATE("R9C",'Mapa final'!$O$29),"")</f>
        <v/>
      </c>
      <c r="R44" s="68" t="str">
        <f>IF(AND('Mapa final'!$Y$30="Baja",'Mapa final'!$AA$30="Menor"),CONCATENATE("R9C",'Mapa final'!$O$30),"")</f>
        <v/>
      </c>
      <c r="S44" s="68" t="str">
        <f>IF(AND('Mapa final'!$Y$31="Baja",'Mapa final'!$AA$31="Menor"),CONCATENATE("R9C",'Mapa final'!$O$31),"")</f>
        <v/>
      </c>
      <c r="T44" s="68" t="str">
        <f>IF(AND('Mapa final'!$Y$32="Baja",'Mapa final'!$AA$32="Menor"),CONCATENATE("R9C",'Mapa final'!$O$32),"")</f>
        <v/>
      </c>
      <c r="U44" s="69" t="str">
        <f>IF(AND('Mapa final'!$Y$33="Baja",'Mapa final'!$AA$33="Menor"),CONCATENATE("R9C",'Mapa final'!$O$33),"")</f>
        <v/>
      </c>
      <c r="V44" s="67" t="str">
        <f>IF(AND('Mapa final'!$Y$28="Baja",'Mapa final'!$AA$28="Moderado"),CONCATENATE("R9C",'Mapa final'!$O$28),"")</f>
        <v/>
      </c>
      <c r="W44" s="68" t="str">
        <f>IF(AND('Mapa final'!$Y$29="Baja",'Mapa final'!$AA$29="Moderado"),CONCATENATE("R9C",'Mapa final'!$O$29),"")</f>
        <v/>
      </c>
      <c r="X44" s="68" t="str">
        <f>IF(AND('Mapa final'!$Y$30="Baja",'Mapa final'!$AA$30="Moderado"),CONCATENATE("R9C",'Mapa final'!$O$30),"")</f>
        <v/>
      </c>
      <c r="Y44" s="68" t="str">
        <f>IF(AND('Mapa final'!$Y$31="Baja",'Mapa final'!$AA$31="Moderado"),CONCATENATE("R9C",'Mapa final'!$O$31),"")</f>
        <v/>
      </c>
      <c r="Z44" s="68" t="str">
        <f>IF(AND('Mapa final'!$Y$32="Baja",'Mapa final'!$AA$32="Moderado"),CONCATENATE("R9C",'Mapa final'!$O$32),"")</f>
        <v/>
      </c>
      <c r="AA44" s="69" t="str">
        <f>IF(AND('Mapa final'!$Y$33="Baja",'Mapa final'!$AA$33="Moderado"),CONCATENATE("R9C",'Mapa final'!$O$33),"")</f>
        <v/>
      </c>
      <c r="AB44" s="52" t="str">
        <f>IF(AND('Mapa final'!$Y$28="Baja",'Mapa final'!$AA$28="Mayor"),CONCATENATE("R9C",'Mapa final'!$O$28),"")</f>
        <v/>
      </c>
      <c r="AC44" s="53" t="str">
        <f>IF(AND('Mapa final'!$Y$29="Baja",'Mapa final'!$AA$29="Mayor"),CONCATENATE("R9C",'Mapa final'!$O$29),"")</f>
        <v/>
      </c>
      <c r="AD44" s="53" t="str">
        <f>IF(AND('Mapa final'!$Y$30="Baja",'Mapa final'!$AA$30="Mayor"),CONCATENATE("R9C",'Mapa final'!$O$30),"")</f>
        <v/>
      </c>
      <c r="AE44" s="53" t="str">
        <f>IF(AND('Mapa final'!$Y$31="Baja",'Mapa final'!$AA$31="Mayor"),CONCATENATE("R9C",'Mapa final'!$O$31),"")</f>
        <v/>
      </c>
      <c r="AF44" s="53" t="str">
        <f>IF(AND('Mapa final'!$Y$32="Baja",'Mapa final'!$AA$32="Mayor"),CONCATENATE("R9C",'Mapa final'!$O$32),"")</f>
        <v/>
      </c>
      <c r="AG44" s="54" t="str">
        <f>IF(AND('Mapa final'!$Y$33="Baja",'Mapa final'!$AA$33="Mayor"),CONCATENATE("R9C",'Mapa final'!$O$33),"")</f>
        <v/>
      </c>
      <c r="AH44" s="55" t="str">
        <f>IF(AND('Mapa final'!$Y$28="Baja",'Mapa final'!$AA$28="Catastrófico"),CONCATENATE("R9C",'Mapa final'!$O$28),"")</f>
        <v/>
      </c>
      <c r="AI44" s="56" t="str">
        <f>IF(AND('Mapa final'!$Y$29="Baja",'Mapa final'!$AA$29="Catastrófico"),CONCATENATE("R9C",'Mapa final'!$O$29),"")</f>
        <v/>
      </c>
      <c r="AJ44" s="56" t="str">
        <f>IF(AND('Mapa final'!$Y$30="Baja",'Mapa final'!$AA$30="Catastrófico"),CONCATENATE("R9C",'Mapa final'!$O$30),"")</f>
        <v/>
      </c>
      <c r="AK44" s="56" t="str">
        <f>IF(AND('Mapa final'!$Y$31="Baja",'Mapa final'!$AA$31="Catastrófico"),CONCATENATE("R9C",'Mapa final'!$O$31),"")</f>
        <v/>
      </c>
      <c r="AL44" s="56" t="str">
        <f>IF(AND('Mapa final'!$Y$32="Baja",'Mapa final'!$AA$32="Catastrófico"),CONCATENATE("R9C",'Mapa final'!$O$32),"")</f>
        <v/>
      </c>
      <c r="AM44" s="57" t="str">
        <f>IF(AND('Mapa final'!$Y$33="Baja",'Mapa final'!$AA$33="Catastrófico"),CONCATENATE("R9C",'Mapa final'!$O$33),"")</f>
        <v/>
      </c>
      <c r="AN44" s="83"/>
      <c r="AO44" s="368"/>
      <c r="AP44" s="369"/>
      <c r="AQ44" s="369"/>
      <c r="AR44" s="369"/>
      <c r="AS44" s="369"/>
      <c r="AT44" s="37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96"/>
      <c r="C45" s="296"/>
      <c r="D45" s="297"/>
      <c r="E45" s="340"/>
      <c r="F45" s="341"/>
      <c r="G45" s="341"/>
      <c r="H45" s="341"/>
      <c r="I45" s="341"/>
      <c r="J45" s="79" t="str">
        <f>IF(AND('Mapa final'!$Y$34="Baja",'Mapa final'!$AA$34="Leve"),CONCATENATE("R10C",'Mapa final'!$O$34),"")</f>
        <v/>
      </c>
      <c r="K45" s="80" t="str">
        <f>IF(AND('Mapa final'!$Y$35="Baja",'Mapa final'!$AA$35="Leve"),CONCATENATE("R10C",'Mapa final'!$O$35),"")</f>
        <v/>
      </c>
      <c r="L45" s="80" t="str">
        <f>IF(AND('Mapa final'!$Y$36="Baja",'Mapa final'!$AA$36="Leve"),CONCATENATE("R10C",'Mapa final'!$O$36),"")</f>
        <v/>
      </c>
      <c r="M45" s="80" t="str">
        <f>IF(AND('Mapa final'!$Y$37="Baja",'Mapa final'!$AA$37="Leve"),CONCATENATE("R10C",'Mapa final'!$O$37),"")</f>
        <v/>
      </c>
      <c r="N45" s="80" t="str">
        <f>IF(AND('Mapa final'!$Y$38="Baja",'Mapa final'!$AA$38="Leve"),CONCATENATE("R10C",'Mapa final'!$O$38),"")</f>
        <v/>
      </c>
      <c r="O45" s="81" t="str">
        <f>IF(AND('Mapa final'!$Y$39="Baja",'Mapa final'!$AA$39="Leve"),CONCATENATE("R10C",'Mapa final'!$O$39),"")</f>
        <v/>
      </c>
      <c r="P45" s="67" t="str">
        <f>IF(AND('Mapa final'!$Y$34="Baja",'Mapa final'!$AA$34="Menor"),CONCATENATE("R10C",'Mapa final'!$O$34),"")</f>
        <v/>
      </c>
      <c r="Q45" s="68" t="str">
        <f>IF(AND('Mapa final'!$Y$35="Baja",'Mapa final'!$AA$35="Menor"),CONCATENATE("R10C",'Mapa final'!$O$35),"")</f>
        <v/>
      </c>
      <c r="R45" s="68" t="str">
        <f>IF(AND('Mapa final'!$Y$36="Baja",'Mapa final'!$AA$36="Menor"),CONCATENATE("R10C",'Mapa final'!$O$36),"")</f>
        <v/>
      </c>
      <c r="S45" s="68" t="str">
        <f>IF(AND('Mapa final'!$Y$37="Baja",'Mapa final'!$AA$37="Menor"),CONCATENATE("R10C",'Mapa final'!$O$37),"")</f>
        <v/>
      </c>
      <c r="T45" s="68" t="str">
        <f>IF(AND('Mapa final'!$Y$38="Baja",'Mapa final'!$AA$38="Menor"),CONCATENATE("R10C",'Mapa final'!$O$38),"")</f>
        <v/>
      </c>
      <c r="U45" s="69" t="str">
        <f>IF(AND('Mapa final'!$Y$39="Baja",'Mapa final'!$AA$39="Menor"),CONCATENATE("R10C",'Mapa final'!$O$39),"")</f>
        <v/>
      </c>
      <c r="V45" s="70" t="str">
        <f>IF(AND('Mapa final'!$Y$34="Baja",'Mapa final'!$AA$34="Moderado"),CONCATENATE("R10C",'Mapa final'!$O$34),"")</f>
        <v/>
      </c>
      <c r="W45" s="71" t="str">
        <f>IF(AND('Mapa final'!$Y$35="Baja",'Mapa final'!$AA$35="Moderado"),CONCATENATE("R10C",'Mapa final'!$O$35),"")</f>
        <v/>
      </c>
      <c r="X45" s="71" t="str">
        <f>IF(AND('Mapa final'!$Y$36="Baja",'Mapa final'!$AA$36="Moderado"),CONCATENATE("R10C",'Mapa final'!$O$36),"")</f>
        <v/>
      </c>
      <c r="Y45" s="71" t="str">
        <f>IF(AND('Mapa final'!$Y$37="Baja",'Mapa final'!$AA$37="Moderado"),CONCATENATE("R10C",'Mapa final'!$O$37),"")</f>
        <v/>
      </c>
      <c r="Z45" s="71" t="str">
        <f>IF(AND('Mapa final'!$Y$38="Baja",'Mapa final'!$AA$38="Moderado"),CONCATENATE("R10C",'Mapa final'!$O$38),"")</f>
        <v/>
      </c>
      <c r="AA45" s="72" t="str">
        <f>IF(AND('Mapa final'!$Y$39="Baja",'Mapa final'!$AA$39="Moderado"),CONCATENATE("R10C",'Mapa final'!$O$39),"")</f>
        <v/>
      </c>
      <c r="AB45" s="58" t="str">
        <f>IF(AND('Mapa final'!$Y$34="Baja",'Mapa final'!$AA$34="Mayor"),CONCATENATE("R10C",'Mapa final'!$O$34),"")</f>
        <v/>
      </c>
      <c r="AC45" s="59" t="str">
        <f>IF(AND('Mapa final'!$Y$35="Baja",'Mapa final'!$AA$35="Mayor"),CONCATENATE("R10C",'Mapa final'!$O$35),"")</f>
        <v/>
      </c>
      <c r="AD45" s="59" t="str">
        <f>IF(AND('Mapa final'!$Y$36="Baja",'Mapa final'!$AA$36="Mayor"),CONCATENATE("R10C",'Mapa final'!$O$36),"")</f>
        <v/>
      </c>
      <c r="AE45" s="59" t="str">
        <f>IF(AND('Mapa final'!$Y$37="Baja",'Mapa final'!$AA$37="Mayor"),CONCATENATE("R10C",'Mapa final'!$O$37),"")</f>
        <v/>
      </c>
      <c r="AF45" s="59" t="str">
        <f>IF(AND('Mapa final'!$Y$38="Baja",'Mapa final'!$AA$38="Mayor"),CONCATENATE("R10C",'Mapa final'!$O$38),"")</f>
        <v/>
      </c>
      <c r="AG45" s="60" t="str">
        <f>IF(AND('Mapa final'!$Y$39="Baja",'Mapa final'!$AA$39="Mayor"),CONCATENATE("R10C",'Mapa final'!$O$39),"")</f>
        <v/>
      </c>
      <c r="AH45" s="61" t="str">
        <f>IF(AND('Mapa final'!$Y$34="Baja",'Mapa final'!$AA$34="Catastrófico"),CONCATENATE("R10C",'Mapa final'!$O$34),"")</f>
        <v/>
      </c>
      <c r="AI45" s="62" t="str">
        <f>IF(AND('Mapa final'!$Y$35="Baja",'Mapa final'!$AA$35="Catastrófico"),CONCATENATE("R10C",'Mapa final'!$O$35),"")</f>
        <v/>
      </c>
      <c r="AJ45" s="62" t="str">
        <f>IF(AND('Mapa final'!$Y$36="Baja",'Mapa final'!$AA$36="Catastrófico"),CONCATENATE("R10C",'Mapa final'!$O$36),"")</f>
        <v/>
      </c>
      <c r="AK45" s="62" t="str">
        <f>IF(AND('Mapa final'!$Y$37="Baja",'Mapa final'!$AA$37="Catastrófico"),CONCATENATE("R10C",'Mapa final'!$O$37),"")</f>
        <v/>
      </c>
      <c r="AL45" s="62" t="str">
        <f>IF(AND('Mapa final'!$Y$38="Baja",'Mapa final'!$AA$38="Catastrófico"),CONCATENATE("R10C",'Mapa final'!$O$38),"")</f>
        <v/>
      </c>
      <c r="AM45" s="63" t="str">
        <f>IF(AND('Mapa final'!$Y$39="Baja",'Mapa final'!$AA$39="Catastrófico"),CONCATENATE("R10C",'Mapa final'!$O$39),"")</f>
        <v/>
      </c>
      <c r="AN45" s="83"/>
      <c r="AO45" s="371"/>
      <c r="AP45" s="372"/>
      <c r="AQ45" s="372"/>
      <c r="AR45" s="372"/>
      <c r="AS45" s="372"/>
      <c r="AT45" s="373"/>
    </row>
    <row r="46" spans="1:80" ht="46.5" customHeight="1" x14ac:dyDescent="0.35">
      <c r="A46" s="83"/>
      <c r="B46" s="296"/>
      <c r="C46" s="296"/>
      <c r="D46" s="297"/>
      <c r="E46" s="334" t="s">
        <v>113</v>
      </c>
      <c r="F46" s="335"/>
      <c r="G46" s="335"/>
      <c r="H46" s="335"/>
      <c r="I46" s="336"/>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96"/>
      <c r="C47" s="296"/>
      <c r="D47" s="297"/>
      <c r="E47" s="353"/>
      <c r="F47" s="338"/>
      <c r="G47" s="338"/>
      <c r="H47" s="338"/>
      <c r="I47" s="339"/>
      <c r="J47" s="76" t="str">
        <f>IF(AND('Mapa final'!$Y$11="Muy Baja",'Mapa final'!$AA$11="Leve"),CONCATENATE("R2C",'Mapa final'!$O$11),"")</f>
        <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IF(AND('Mapa final'!$Y$11="Muy Baja",'Mapa final'!$AA$11="Menor"),CONCATENATE("R2C",'Mapa final'!$O$11),"")</f>
        <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IF(AND('Mapa final'!$Y$11="Muy Baja",'Mapa final'!$AA$11="Moderado"),CONCATENATE("R2C",'Mapa final'!$O$11),"")</f>
        <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96"/>
      <c r="C48" s="296"/>
      <c r="D48" s="297"/>
      <c r="E48" s="353"/>
      <c r="F48" s="338"/>
      <c r="G48" s="338"/>
      <c r="H48" s="338"/>
      <c r="I48" s="339"/>
      <c r="J48" s="76" t="str">
        <f>IF(AND('Mapa final'!$Y$12="Muy Baja",'Mapa final'!$AA$12="Leve"),CONCATENATE("R3C",'Mapa final'!$O$12),"")</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final'!$Y$12="Muy Baja",'Mapa final'!$AA$12="Menor"),CONCATENATE("R3C",'Mapa final'!$O$12),"")</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final'!$Y$12="Muy Baja",'Mapa final'!$AA$12="Moderado"),CONCATENATE("R3C",'Mapa final'!$O$12),"")</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96"/>
      <c r="C49" s="296"/>
      <c r="D49" s="297"/>
      <c r="E49" s="337"/>
      <c r="F49" s="338"/>
      <c r="G49" s="338"/>
      <c r="H49" s="338"/>
      <c r="I49" s="339"/>
      <c r="J49" s="76" t="str">
        <f>IF(AND('Mapa final'!$Y$13="Muy Baja",'Mapa final'!$AA$13="Leve"),CONCATENATE("R4C",'Mapa final'!$O$13),"")</f>
        <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str">
        <f>IF(AND('Mapa final'!$Y$13="Muy Baja",'Mapa final'!$AA$13="Menor"),CONCATENATE("R4C",'Mapa final'!$O$13),"")</f>
        <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str">
        <f>IF(AND('Mapa final'!$Y$13="Muy Baja",'Mapa final'!$AA$13="Moderado"),CONCATENATE("R4C",'Mapa final'!$O$13),"")</f>
        <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str">
        <f>IF(AND('Mapa final'!$Y$13="Muy Baja",'Mapa final'!$AA$13="Mayor"),CONCATENATE("R4C",'Mapa final'!$O$13),"")</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final'!$Y$13="Muy Baja",'Mapa final'!$AA$13="Catastrófico"),CONCATENATE("R4C",'Mapa final'!$O$13),"")</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96"/>
      <c r="C50" s="296"/>
      <c r="D50" s="297"/>
      <c r="E50" s="337"/>
      <c r="F50" s="338"/>
      <c r="G50" s="338"/>
      <c r="H50" s="338"/>
      <c r="I50" s="339"/>
      <c r="J50" s="76" t="str">
        <f>IF(AND('Mapa final'!$Y$14="Muy Baja",'Mapa final'!$AA$14="Leve"),CONCATENATE("R5C",'Mapa final'!$O$14),"")</f>
        <v/>
      </c>
      <c r="K50" s="77" t="e">
        <f>IF(AND('Mapa final'!#REF!="Muy Baja",'Mapa final'!#REF!="Leve"),CONCATENATE("R5C",'Mapa final'!#REF!),"")</f>
        <v>#REF!</v>
      </c>
      <c r="L50" s="77" t="e">
        <f>IF(AND('Mapa final'!#REF!="Muy Baja",'Mapa final'!#REF!="Leve"),CONCATENATE("R5C",'Mapa final'!#REF!),"")</f>
        <v>#REF!</v>
      </c>
      <c r="M50" s="77" t="e">
        <f>IF(AND('Mapa final'!#REF!="Muy Baja",'Mapa final'!#REF!="Leve"),CONCATENATE("R5C",'Mapa final'!#REF!),"")</f>
        <v>#REF!</v>
      </c>
      <c r="N50" s="77" t="e">
        <f>IF(AND('Mapa final'!#REF!="Muy Baja",'Mapa final'!#REF!="Leve"),CONCATENATE("R5C",'Mapa final'!#REF!),"")</f>
        <v>#REF!</v>
      </c>
      <c r="O50" s="78" t="e">
        <f>IF(AND('Mapa final'!#REF!="Muy Baja",'Mapa final'!#REF!="Leve"),CONCATENATE("R5C",'Mapa final'!#REF!),"")</f>
        <v>#REF!</v>
      </c>
      <c r="P50" s="76" t="str">
        <f>IF(AND('Mapa final'!$Y$14="Muy Baja",'Mapa final'!$AA$14="Menor"),CONCATENATE("R5C",'Mapa final'!$O$14),"")</f>
        <v/>
      </c>
      <c r="Q50" s="77" t="e">
        <f>IF(AND('Mapa final'!#REF!="Muy Baja",'Mapa final'!#REF!="Menor"),CONCATENATE("R5C",'Mapa final'!#REF!),"")</f>
        <v>#REF!</v>
      </c>
      <c r="R50" s="77" t="e">
        <f>IF(AND('Mapa final'!#REF!="Muy Baja",'Mapa final'!#REF!="Menor"),CONCATENATE("R5C",'Mapa final'!#REF!),"")</f>
        <v>#REF!</v>
      </c>
      <c r="S50" s="77" t="e">
        <f>IF(AND('Mapa final'!#REF!="Muy Baja",'Mapa final'!#REF!="Menor"),CONCATENATE("R5C",'Mapa final'!#REF!),"")</f>
        <v>#REF!</v>
      </c>
      <c r="T50" s="77" t="e">
        <f>IF(AND('Mapa final'!#REF!="Muy Baja",'Mapa final'!#REF!="Menor"),CONCATENATE("R5C",'Mapa final'!#REF!),"")</f>
        <v>#REF!</v>
      </c>
      <c r="U50" s="78" t="e">
        <f>IF(AND('Mapa final'!#REF!="Muy Baja",'Mapa final'!#REF!="Menor"),CONCATENATE("R5C",'Mapa final'!#REF!),"")</f>
        <v>#REF!</v>
      </c>
      <c r="V50" s="67" t="str">
        <f>IF(AND('Mapa final'!$Y$14="Muy Baja",'Mapa final'!$AA$14="Moderado"),CONCATENATE("R5C",'Mapa final'!$O$14),"")</f>
        <v/>
      </c>
      <c r="W50" s="68" t="e">
        <f>IF(AND('Mapa final'!#REF!="Muy Baja",'Mapa final'!#REF!="Moderado"),CONCATENATE("R5C",'Mapa final'!#REF!),"")</f>
        <v>#REF!</v>
      </c>
      <c r="X50" s="68" t="e">
        <f>IF(AND('Mapa final'!#REF!="Muy Baja",'Mapa final'!#REF!="Moderado"),CONCATENATE("R5C",'Mapa final'!#REF!),"")</f>
        <v>#REF!</v>
      </c>
      <c r="Y50" s="68" t="e">
        <f>IF(AND('Mapa final'!#REF!="Muy Baja",'Mapa final'!#REF!="Moderado"),CONCATENATE("R5C",'Mapa final'!#REF!),"")</f>
        <v>#REF!</v>
      </c>
      <c r="Z50" s="68" t="e">
        <f>IF(AND('Mapa final'!#REF!="Muy Baja",'Mapa final'!#REF!="Moderado"),CONCATENATE("R5C",'Mapa final'!#REF!),"")</f>
        <v>#REF!</v>
      </c>
      <c r="AA50" s="69" t="e">
        <f>IF(AND('Mapa final'!#REF!="Muy Baja",'Mapa final'!#REF!="Moderado"),CONCATENATE("R5C",'Mapa final'!#REF!),"")</f>
        <v>#REF!</v>
      </c>
      <c r="AB50" s="52" t="str">
        <f>IF(AND('Mapa final'!$Y$14="Muy Baja",'Mapa final'!$AA$14="Mayor"),CONCATENATE("R5C",'Mapa final'!$O$14),"")</f>
        <v/>
      </c>
      <c r="AC50" s="53" t="e">
        <f>IF(AND('Mapa final'!#REF!="Muy Baja",'Mapa final'!#REF!="Mayor"),CONCATENATE("R5C",'Mapa final'!#REF!),"")</f>
        <v>#REF!</v>
      </c>
      <c r="AD50" s="53" t="e">
        <f>IF(AND('Mapa final'!#REF!="Muy Baja",'Mapa final'!#REF!="Mayor"),CONCATENATE("R5C",'Mapa final'!#REF!),"")</f>
        <v>#REF!</v>
      </c>
      <c r="AE50" s="53" t="e">
        <f>IF(AND('Mapa final'!#REF!="Muy Baja",'Mapa final'!#REF!="Mayor"),CONCATENATE("R5C",'Mapa final'!#REF!),"")</f>
        <v>#REF!</v>
      </c>
      <c r="AF50" s="53" t="e">
        <f>IF(AND('Mapa final'!#REF!="Muy Baja",'Mapa final'!#REF!="Mayor"),CONCATENATE("R5C",'Mapa final'!#REF!),"")</f>
        <v>#REF!</v>
      </c>
      <c r="AG50" s="54" t="e">
        <f>IF(AND('Mapa final'!#REF!="Muy Baja",'Mapa final'!#REF!="Mayor"),CONCATENATE("R5C",'Mapa final'!#REF!),"")</f>
        <v>#REF!</v>
      </c>
      <c r="AH50" s="55" t="str">
        <f>IF(AND('Mapa final'!$Y$14="Muy Baja",'Mapa final'!$AA$14="Catastrófico"),CONCATENATE("R5C",'Mapa final'!$O$14),"")</f>
        <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96"/>
      <c r="C51" s="296"/>
      <c r="D51" s="297"/>
      <c r="E51" s="337"/>
      <c r="F51" s="338"/>
      <c r="G51" s="338"/>
      <c r="H51" s="338"/>
      <c r="I51" s="339"/>
      <c r="J51" s="76" t="str">
        <f>IF(AND('Mapa final'!$Y$15="Muy Baja",'Mapa final'!$AA$15="Leve"),CONCATENATE("R6C",'Mapa final'!$O$15),"")</f>
        <v/>
      </c>
      <c r="K51" s="77" t="e">
        <f>IF(AND('Mapa final'!#REF!="Muy Baja",'Mapa final'!#REF!="Leve"),CONCATENATE("R6C",'Mapa final'!#REF!),"")</f>
        <v>#REF!</v>
      </c>
      <c r="L51" s="77" t="e">
        <f>IF(AND('Mapa final'!#REF!="Muy Baja",'Mapa final'!#REF!="Leve"),CONCATENATE("R6C",'Mapa final'!#REF!),"")</f>
        <v>#REF!</v>
      </c>
      <c r="M51" s="77" t="e">
        <f>IF(AND('Mapa final'!#REF!="Muy Baja",'Mapa final'!#REF!="Leve"),CONCATENATE("R6C",'Mapa final'!#REF!),"")</f>
        <v>#REF!</v>
      </c>
      <c r="N51" s="77" t="e">
        <f>IF(AND('Mapa final'!#REF!="Muy Baja",'Mapa final'!#REF!="Leve"),CONCATENATE("R6C",'Mapa final'!#REF!),"")</f>
        <v>#REF!</v>
      </c>
      <c r="O51" s="78" t="e">
        <f>IF(AND('Mapa final'!#REF!="Muy Baja",'Mapa final'!#REF!="Leve"),CONCATENATE("R6C",'Mapa final'!#REF!),"")</f>
        <v>#REF!</v>
      </c>
      <c r="P51" s="76" t="str">
        <f>IF(AND('Mapa final'!$Y$15="Muy Baja",'Mapa final'!$AA$15="Menor"),CONCATENATE("R6C",'Mapa final'!$O$15),"")</f>
        <v/>
      </c>
      <c r="Q51" s="77" t="e">
        <f>IF(AND('Mapa final'!#REF!="Muy Baja",'Mapa final'!#REF!="Menor"),CONCATENATE("R6C",'Mapa final'!#REF!),"")</f>
        <v>#REF!</v>
      </c>
      <c r="R51" s="77" t="e">
        <f>IF(AND('Mapa final'!#REF!="Muy Baja",'Mapa final'!#REF!="Menor"),CONCATENATE("R6C",'Mapa final'!#REF!),"")</f>
        <v>#REF!</v>
      </c>
      <c r="S51" s="77" t="e">
        <f>IF(AND('Mapa final'!#REF!="Muy Baja",'Mapa final'!#REF!="Menor"),CONCATENATE("R6C",'Mapa final'!#REF!),"")</f>
        <v>#REF!</v>
      </c>
      <c r="T51" s="77" t="e">
        <f>IF(AND('Mapa final'!#REF!="Muy Baja",'Mapa final'!#REF!="Menor"),CONCATENATE("R6C",'Mapa final'!#REF!),"")</f>
        <v>#REF!</v>
      </c>
      <c r="U51" s="78" t="e">
        <f>IF(AND('Mapa final'!#REF!="Muy Baja",'Mapa final'!#REF!="Menor"),CONCATENATE("R6C",'Mapa final'!#REF!),"")</f>
        <v>#REF!</v>
      </c>
      <c r="V51" s="67" t="str">
        <f>IF(AND('Mapa final'!$Y$15="Muy Baja",'Mapa final'!$AA$15="Moderado"),CONCATENATE("R6C",'Mapa final'!$O$15),"")</f>
        <v/>
      </c>
      <c r="W51" s="68" t="e">
        <f>IF(AND('Mapa final'!#REF!="Muy Baja",'Mapa final'!#REF!="Moderado"),CONCATENATE("R6C",'Mapa final'!#REF!),"")</f>
        <v>#REF!</v>
      </c>
      <c r="X51" s="68" t="e">
        <f>IF(AND('Mapa final'!#REF!="Muy Baja",'Mapa final'!#REF!="Moderado"),CONCATENATE("R6C",'Mapa final'!#REF!),"")</f>
        <v>#REF!</v>
      </c>
      <c r="Y51" s="68" t="e">
        <f>IF(AND('Mapa final'!#REF!="Muy Baja",'Mapa final'!#REF!="Moderado"),CONCATENATE("R6C",'Mapa final'!#REF!),"")</f>
        <v>#REF!</v>
      </c>
      <c r="Z51" s="68" t="e">
        <f>IF(AND('Mapa final'!#REF!="Muy Baja",'Mapa final'!#REF!="Moderado"),CONCATENATE("R6C",'Mapa final'!#REF!),"")</f>
        <v>#REF!</v>
      </c>
      <c r="AA51" s="69" t="e">
        <f>IF(AND('Mapa final'!#REF!="Muy Baja",'Mapa final'!#REF!="Moderado"),CONCATENATE("R6C",'Mapa final'!#REF!),"")</f>
        <v>#REF!</v>
      </c>
      <c r="AB51" s="52" t="str">
        <f>IF(AND('Mapa final'!$Y$15="Muy Baja",'Mapa final'!$AA$15="Mayor"),CONCATENATE("R6C",'Mapa final'!$O$15),"")</f>
        <v/>
      </c>
      <c r="AC51" s="53" t="e">
        <f>IF(AND('Mapa final'!#REF!="Muy Baja",'Mapa final'!#REF!="Mayor"),CONCATENATE("R6C",'Mapa final'!#REF!),"")</f>
        <v>#REF!</v>
      </c>
      <c r="AD51" s="53" t="e">
        <f>IF(AND('Mapa final'!#REF!="Muy Baja",'Mapa final'!#REF!="Mayor"),CONCATENATE("R6C",'Mapa final'!#REF!),"")</f>
        <v>#REF!</v>
      </c>
      <c r="AE51" s="53" t="e">
        <f>IF(AND('Mapa final'!#REF!="Muy Baja",'Mapa final'!#REF!="Mayor"),CONCATENATE("R6C",'Mapa final'!#REF!),"")</f>
        <v>#REF!</v>
      </c>
      <c r="AF51" s="53" t="e">
        <f>IF(AND('Mapa final'!#REF!="Muy Baja",'Mapa final'!#REF!="Mayor"),CONCATENATE("R6C",'Mapa final'!#REF!),"")</f>
        <v>#REF!</v>
      </c>
      <c r="AG51" s="54" t="e">
        <f>IF(AND('Mapa final'!#REF!="Muy Baja",'Mapa final'!#REF!="Mayor"),CONCATENATE("R6C",'Mapa final'!#REF!),"")</f>
        <v>#REF!</v>
      </c>
      <c r="AH51" s="55" t="str">
        <f>IF(AND('Mapa final'!$Y$15="Muy Baja",'Mapa final'!$AA$15="Catastrófico"),CONCATENATE("R6C",'Mapa final'!$O$15),"")</f>
        <v/>
      </c>
      <c r="AI51" s="56" t="e">
        <f>IF(AND('Mapa final'!#REF!="Muy Baja",'Mapa final'!#REF!="Catastrófico"),CONCATENATE("R6C",'Mapa final'!#REF!),"")</f>
        <v>#REF!</v>
      </c>
      <c r="AJ51" s="56" t="e">
        <f>IF(AND('Mapa final'!#REF!="Muy Baja",'Mapa final'!#REF!="Catastrófico"),CONCATENATE("R6C",'Mapa final'!#REF!),"")</f>
        <v>#REF!</v>
      </c>
      <c r="AK51" s="56" t="e">
        <f>IF(AND('Mapa final'!#REF!="Muy Baja",'Mapa final'!#REF!="Catastrófico"),CONCATENATE("R6C",'Mapa final'!#REF!),"")</f>
        <v>#REF!</v>
      </c>
      <c r="AL51" s="56" t="e">
        <f>IF(AND('Mapa final'!#REF!="Muy Baja",'Mapa final'!#REF!="Catastrófico"),CONCATENATE("R6C",'Mapa final'!#REF!),"")</f>
        <v>#REF!</v>
      </c>
      <c r="AM51" s="57" t="e">
        <f>IF(AND('Mapa final'!#REF!="Muy Baja",'Mapa final'!#REF!="Catastrófico"),CONCATENATE("R6C",'Mapa final'!#REF!),"")</f>
        <v>#REF!</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96"/>
      <c r="C52" s="296"/>
      <c r="D52" s="297"/>
      <c r="E52" s="337"/>
      <c r="F52" s="338"/>
      <c r="G52" s="338"/>
      <c r="H52" s="338"/>
      <c r="I52" s="339"/>
      <c r="J52" s="76" t="str">
        <f>IF(AND('Mapa final'!$Y$16="Muy Baja",'Mapa final'!$AA$16="Leve"),CONCATENATE("R7C",'Mapa final'!$O$16),"")</f>
        <v/>
      </c>
      <c r="K52" s="77" t="str">
        <f>IF(AND('Mapa final'!$Y$17="Muy Baja",'Mapa final'!$AA$17="Leve"),CONCATENATE("R7C",'Mapa final'!$O$17),"")</f>
        <v/>
      </c>
      <c r="L52" s="77" t="str">
        <f>IF(AND('Mapa final'!$Y$18="Muy Baja",'Mapa final'!$AA$18="Leve"),CONCATENATE("R7C",'Mapa final'!$O$18),"")</f>
        <v/>
      </c>
      <c r="M52" s="77" t="str">
        <f>IF(AND('Mapa final'!$Y$19="Muy Baja",'Mapa final'!$AA$19="Leve"),CONCATENATE("R7C",'Mapa final'!$O$19),"")</f>
        <v/>
      </c>
      <c r="N52" s="77" t="str">
        <f>IF(AND('Mapa final'!$Y$20="Muy Baja",'Mapa final'!$AA$20="Leve"),CONCATENATE("R7C",'Mapa final'!$O$20),"")</f>
        <v/>
      </c>
      <c r="O52" s="78" t="str">
        <f>IF(AND('Mapa final'!$Y$21="Muy Baja",'Mapa final'!$AA$21="Leve"),CONCATENATE("R7C",'Mapa final'!$O$21),"")</f>
        <v/>
      </c>
      <c r="P52" s="76" t="str">
        <f>IF(AND('Mapa final'!$Y$16="Muy Baja",'Mapa final'!$AA$16="Menor"),CONCATENATE("R7C",'Mapa final'!$O$16),"")</f>
        <v/>
      </c>
      <c r="Q52" s="77" t="str">
        <f>IF(AND('Mapa final'!$Y$17="Muy Baja",'Mapa final'!$AA$17="Menor"),CONCATENATE("R7C",'Mapa final'!$O$17),"")</f>
        <v/>
      </c>
      <c r="R52" s="77" t="str">
        <f>IF(AND('Mapa final'!$Y$18="Muy Baja",'Mapa final'!$AA$18="Menor"),CONCATENATE("R7C",'Mapa final'!$O$18),"")</f>
        <v/>
      </c>
      <c r="S52" s="77" t="str">
        <f>IF(AND('Mapa final'!$Y$19="Muy Baja",'Mapa final'!$AA$19="Menor"),CONCATENATE("R7C",'Mapa final'!$O$19),"")</f>
        <v/>
      </c>
      <c r="T52" s="77" t="str">
        <f>IF(AND('Mapa final'!$Y$20="Muy Baja",'Mapa final'!$AA$20="Menor"),CONCATENATE("R7C",'Mapa final'!$O$20),"")</f>
        <v/>
      </c>
      <c r="U52" s="78" t="str">
        <f>IF(AND('Mapa final'!$Y$21="Muy Baja",'Mapa final'!$AA$21="Menor"),CONCATENATE("R7C",'Mapa final'!$O$21),"")</f>
        <v/>
      </c>
      <c r="V52" s="67" t="str">
        <f>IF(AND('Mapa final'!$Y$16="Muy Baja",'Mapa final'!$AA$16="Moderado"),CONCATENATE("R7C",'Mapa final'!$O$16),"")</f>
        <v/>
      </c>
      <c r="W52" s="68" t="str">
        <f>IF(AND('Mapa final'!$Y$17="Muy Baja",'Mapa final'!$AA$17="Moderado"),CONCATENATE("R7C",'Mapa final'!$O$17),"")</f>
        <v/>
      </c>
      <c r="X52" s="68" t="str">
        <f>IF(AND('Mapa final'!$Y$18="Muy Baja",'Mapa final'!$AA$18="Moderado"),CONCATENATE("R7C",'Mapa final'!$O$18),"")</f>
        <v/>
      </c>
      <c r="Y52" s="68" t="str">
        <f>IF(AND('Mapa final'!$Y$19="Muy Baja",'Mapa final'!$AA$19="Moderado"),CONCATENATE("R7C",'Mapa final'!$O$19),"")</f>
        <v/>
      </c>
      <c r="Z52" s="68" t="str">
        <f>IF(AND('Mapa final'!$Y$20="Muy Baja",'Mapa final'!$AA$20="Moderado"),CONCATENATE("R7C",'Mapa final'!$O$20),"")</f>
        <v/>
      </c>
      <c r="AA52" s="69" t="str">
        <f>IF(AND('Mapa final'!$Y$21="Muy Baja",'Mapa final'!$AA$21="Moderado"),CONCATENATE("R7C",'Mapa final'!$O$21),"")</f>
        <v/>
      </c>
      <c r="AB52" s="52" t="str">
        <f>IF(AND('Mapa final'!$Y$16="Muy Baja",'Mapa final'!$AA$16="Mayor"),CONCATENATE("R7C",'Mapa final'!$O$16),"")</f>
        <v/>
      </c>
      <c r="AC52" s="53" t="str">
        <f>IF(AND('Mapa final'!$Y$17="Muy Baja",'Mapa final'!$AA$17="Mayor"),CONCATENATE("R7C",'Mapa final'!$O$17),"")</f>
        <v/>
      </c>
      <c r="AD52" s="53" t="str">
        <f>IF(AND('Mapa final'!$Y$18="Muy Baja",'Mapa final'!$AA$18="Mayor"),CONCATENATE("R7C",'Mapa final'!$O$18),"")</f>
        <v/>
      </c>
      <c r="AE52" s="53" t="str">
        <f>IF(AND('Mapa final'!$Y$19="Muy Baja",'Mapa final'!$AA$19="Mayor"),CONCATENATE("R7C",'Mapa final'!$O$19),"")</f>
        <v/>
      </c>
      <c r="AF52" s="53" t="str">
        <f>IF(AND('Mapa final'!$Y$20="Muy Baja",'Mapa final'!$AA$20="Mayor"),CONCATENATE("R7C",'Mapa final'!$O$20),"")</f>
        <v/>
      </c>
      <c r="AG52" s="54" t="str">
        <f>IF(AND('Mapa final'!$Y$21="Muy Baja",'Mapa final'!$AA$21="Mayor"),CONCATENATE("R7C",'Mapa final'!$O$21),"")</f>
        <v/>
      </c>
      <c r="AH52" s="55" t="str">
        <f>IF(AND('Mapa final'!$Y$16="Muy Baja",'Mapa final'!$AA$16="Catastrófico"),CONCATENATE("R7C",'Mapa final'!$O$16),"")</f>
        <v/>
      </c>
      <c r="AI52" s="56" t="str">
        <f>IF(AND('Mapa final'!$Y$17="Muy Baja",'Mapa final'!$AA$17="Catastrófico"),CONCATENATE("R7C",'Mapa final'!$O$17),"")</f>
        <v/>
      </c>
      <c r="AJ52" s="56" t="str">
        <f>IF(AND('Mapa final'!$Y$18="Muy Baja",'Mapa final'!$AA$18="Catastrófico"),CONCATENATE("R7C",'Mapa final'!$O$18),"")</f>
        <v/>
      </c>
      <c r="AK52" s="56" t="str">
        <f>IF(AND('Mapa final'!$Y$19="Muy Baja",'Mapa final'!$AA$19="Catastrófico"),CONCATENATE("R7C",'Mapa final'!$O$19),"")</f>
        <v/>
      </c>
      <c r="AL52" s="56" t="str">
        <f>IF(AND('Mapa final'!$Y$20="Muy Baja",'Mapa final'!$AA$20="Catastrófico"),CONCATENATE("R7C",'Mapa final'!$O$20),"")</f>
        <v/>
      </c>
      <c r="AM52" s="57" t="str">
        <f>IF(AND('Mapa final'!$Y$21="Muy Baja",'Mapa final'!$AA$21="Catastrófico"),CONCATENATE("R7C",'Mapa final'!$O$21),"")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96"/>
      <c r="C53" s="296"/>
      <c r="D53" s="297"/>
      <c r="E53" s="337"/>
      <c r="F53" s="338"/>
      <c r="G53" s="338"/>
      <c r="H53" s="338"/>
      <c r="I53" s="339"/>
      <c r="J53" s="76" t="str">
        <f>IF(AND('Mapa final'!$Y$22="Muy Baja",'Mapa final'!$AA$22="Leve"),CONCATENATE("R8C",'Mapa final'!$O$22),"")</f>
        <v/>
      </c>
      <c r="K53" s="77" t="str">
        <f>IF(AND('Mapa final'!$Y$23="Muy Baja",'Mapa final'!$AA$23="Leve"),CONCATENATE("R8C",'Mapa final'!$O$23),"")</f>
        <v/>
      </c>
      <c r="L53" s="77" t="str">
        <f>IF(AND('Mapa final'!$Y$24="Muy Baja",'Mapa final'!$AA$24="Leve"),CONCATENATE("R8C",'Mapa final'!$O$24),"")</f>
        <v/>
      </c>
      <c r="M53" s="77" t="str">
        <f>IF(AND('Mapa final'!$Y$25="Muy Baja",'Mapa final'!$AA$25="Leve"),CONCATENATE("R8C",'Mapa final'!$O$25),"")</f>
        <v/>
      </c>
      <c r="N53" s="77" t="str">
        <f>IF(AND('Mapa final'!$Y$26="Muy Baja",'Mapa final'!$AA$26="Leve"),CONCATENATE("R8C",'Mapa final'!$O$26),"")</f>
        <v/>
      </c>
      <c r="O53" s="78" t="str">
        <f>IF(AND('Mapa final'!$Y$27="Muy Baja",'Mapa final'!$AA$27="Leve"),CONCATENATE("R8C",'Mapa final'!$O$27),"")</f>
        <v/>
      </c>
      <c r="P53" s="76" t="str">
        <f>IF(AND('Mapa final'!$Y$22="Muy Baja",'Mapa final'!$AA$22="Menor"),CONCATENATE("R8C",'Mapa final'!$O$22),"")</f>
        <v/>
      </c>
      <c r="Q53" s="77" t="str">
        <f>IF(AND('Mapa final'!$Y$23="Muy Baja",'Mapa final'!$AA$23="Menor"),CONCATENATE("R8C",'Mapa final'!$O$23),"")</f>
        <v/>
      </c>
      <c r="R53" s="77" t="str">
        <f>IF(AND('Mapa final'!$Y$24="Muy Baja",'Mapa final'!$AA$24="Menor"),CONCATENATE("R8C",'Mapa final'!$O$24),"")</f>
        <v/>
      </c>
      <c r="S53" s="77" t="str">
        <f>IF(AND('Mapa final'!$Y$25="Muy Baja",'Mapa final'!$AA$25="Menor"),CONCATENATE("R8C",'Mapa final'!$O$25),"")</f>
        <v/>
      </c>
      <c r="T53" s="77" t="str">
        <f>IF(AND('Mapa final'!$Y$26="Muy Baja",'Mapa final'!$AA$26="Menor"),CONCATENATE("R8C",'Mapa final'!$O$26),"")</f>
        <v/>
      </c>
      <c r="U53" s="78" t="str">
        <f>IF(AND('Mapa final'!$Y$27="Muy Baja",'Mapa final'!$AA$27="Menor"),CONCATENATE("R8C",'Mapa final'!$O$27),"")</f>
        <v/>
      </c>
      <c r="V53" s="67" t="str">
        <f>IF(AND('Mapa final'!$Y$22="Muy Baja",'Mapa final'!$AA$22="Moderado"),CONCATENATE("R8C",'Mapa final'!$O$22),"")</f>
        <v/>
      </c>
      <c r="W53" s="68" t="str">
        <f>IF(AND('Mapa final'!$Y$23="Muy Baja",'Mapa final'!$AA$23="Moderado"),CONCATENATE("R8C",'Mapa final'!$O$23),"")</f>
        <v/>
      </c>
      <c r="X53" s="68" t="str">
        <f>IF(AND('Mapa final'!$Y$24="Muy Baja",'Mapa final'!$AA$24="Moderado"),CONCATENATE("R8C",'Mapa final'!$O$24),"")</f>
        <v/>
      </c>
      <c r="Y53" s="68" t="str">
        <f>IF(AND('Mapa final'!$Y$25="Muy Baja",'Mapa final'!$AA$25="Moderado"),CONCATENATE("R8C",'Mapa final'!$O$25),"")</f>
        <v/>
      </c>
      <c r="Z53" s="68" t="str">
        <f>IF(AND('Mapa final'!$Y$26="Muy Baja",'Mapa final'!$AA$26="Moderado"),CONCATENATE("R8C",'Mapa final'!$O$26),"")</f>
        <v/>
      </c>
      <c r="AA53" s="69" t="str">
        <f>IF(AND('Mapa final'!$Y$27="Muy Baja",'Mapa final'!$AA$27="Moderado"),CONCATENATE("R8C",'Mapa final'!$O$27),"")</f>
        <v/>
      </c>
      <c r="AB53" s="52" t="str">
        <f>IF(AND('Mapa final'!$Y$22="Muy Baja",'Mapa final'!$AA$22="Mayor"),CONCATENATE("R8C",'Mapa final'!$O$22),"")</f>
        <v/>
      </c>
      <c r="AC53" s="53" t="str">
        <f>IF(AND('Mapa final'!$Y$23="Muy Baja",'Mapa final'!$AA$23="Mayor"),CONCATENATE("R8C",'Mapa final'!$O$23),"")</f>
        <v/>
      </c>
      <c r="AD53" s="53" t="str">
        <f>IF(AND('Mapa final'!$Y$24="Muy Baja",'Mapa final'!$AA$24="Mayor"),CONCATENATE("R8C",'Mapa final'!$O$24),"")</f>
        <v/>
      </c>
      <c r="AE53" s="53" t="str">
        <f>IF(AND('Mapa final'!$Y$25="Muy Baja",'Mapa final'!$AA$25="Mayor"),CONCATENATE("R8C",'Mapa final'!$O$25),"")</f>
        <v/>
      </c>
      <c r="AF53" s="53" t="str">
        <f>IF(AND('Mapa final'!$Y$26="Muy Baja",'Mapa final'!$AA$26="Mayor"),CONCATENATE("R8C",'Mapa final'!$O$26),"")</f>
        <v/>
      </c>
      <c r="AG53" s="54" t="str">
        <f>IF(AND('Mapa final'!$Y$27="Muy Baja",'Mapa final'!$AA$27="Mayor"),CONCATENATE("R8C",'Mapa final'!$O$27),"")</f>
        <v/>
      </c>
      <c r="AH53" s="55" t="str">
        <f>IF(AND('Mapa final'!$Y$22="Muy Baja",'Mapa final'!$AA$22="Catastrófico"),CONCATENATE("R8C",'Mapa final'!$O$22),"")</f>
        <v/>
      </c>
      <c r="AI53" s="56" t="str">
        <f>IF(AND('Mapa final'!$Y$23="Muy Baja",'Mapa final'!$AA$23="Catastrófico"),CONCATENATE("R8C",'Mapa final'!$O$23),"")</f>
        <v/>
      </c>
      <c r="AJ53" s="56" t="str">
        <f>IF(AND('Mapa final'!$Y$24="Muy Baja",'Mapa final'!$AA$24="Catastrófico"),CONCATENATE("R8C",'Mapa final'!$O$24),"")</f>
        <v/>
      </c>
      <c r="AK53" s="56" t="str">
        <f>IF(AND('Mapa final'!$Y$25="Muy Baja",'Mapa final'!$AA$25="Catastrófico"),CONCATENATE("R8C",'Mapa final'!$O$25),"")</f>
        <v/>
      </c>
      <c r="AL53" s="56" t="str">
        <f>IF(AND('Mapa final'!$Y$26="Muy Baja",'Mapa final'!$AA$26="Catastrófico"),CONCATENATE("R8C",'Mapa final'!$O$26),"")</f>
        <v/>
      </c>
      <c r="AM53" s="57" t="str">
        <f>IF(AND('Mapa final'!$Y$27="Muy Baja",'Mapa final'!$AA$27="Catastrófico"),CONCATENATE("R8C",'Mapa final'!$O$27),"")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96"/>
      <c r="C54" s="296"/>
      <c r="D54" s="297"/>
      <c r="E54" s="337"/>
      <c r="F54" s="338"/>
      <c r="G54" s="338"/>
      <c r="H54" s="338"/>
      <c r="I54" s="339"/>
      <c r="J54" s="76" t="str">
        <f>IF(AND('Mapa final'!$Y$28="Muy Baja",'Mapa final'!$AA$28="Leve"),CONCATENATE("R9C",'Mapa final'!$O$28),"")</f>
        <v/>
      </c>
      <c r="K54" s="77" t="str">
        <f>IF(AND('Mapa final'!$Y$29="Muy Baja",'Mapa final'!$AA$29="Leve"),CONCATENATE("R9C",'Mapa final'!$O$29),"")</f>
        <v/>
      </c>
      <c r="L54" s="77" t="str">
        <f>IF(AND('Mapa final'!$Y$30="Muy Baja",'Mapa final'!$AA$30="Leve"),CONCATENATE("R9C",'Mapa final'!$O$30),"")</f>
        <v/>
      </c>
      <c r="M54" s="77" t="str">
        <f>IF(AND('Mapa final'!$Y$31="Muy Baja",'Mapa final'!$AA$31="Leve"),CONCATENATE("R9C",'Mapa final'!$O$31),"")</f>
        <v/>
      </c>
      <c r="N54" s="77" t="str">
        <f>IF(AND('Mapa final'!$Y$32="Muy Baja",'Mapa final'!$AA$32="Leve"),CONCATENATE("R9C",'Mapa final'!$O$32),"")</f>
        <v/>
      </c>
      <c r="O54" s="78" t="str">
        <f>IF(AND('Mapa final'!$Y$33="Muy Baja",'Mapa final'!$AA$33="Leve"),CONCATENATE("R9C",'Mapa final'!$O$33),"")</f>
        <v/>
      </c>
      <c r="P54" s="76" t="str">
        <f>IF(AND('Mapa final'!$Y$28="Muy Baja",'Mapa final'!$AA$28="Menor"),CONCATENATE("R9C",'Mapa final'!$O$28),"")</f>
        <v/>
      </c>
      <c r="Q54" s="77" t="str">
        <f>IF(AND('Mapa final'!$Y$29="Muy Baja",'Mapa final'!$AA$29="Menor"),CONCATENATE("R9C",'Mapa final'!$O$29),"")</f>
        <v/>
      </c>
      <c r="R54" s="77" t="str">
        <f>IF(AND('Mapa final'!$Y$30="Muy Baja",'Mapa final'!$AA$30="Menor"),CONCATENATE("R9C",'Mapa final'!$O$30),"")</f>
        <v/>
      </c>
      <c r="S54" s="77" t="str">
        <f>IF(AND('Mapa final'!$Y$31="Muy Baja",'Mapa final'!$AA$31="Menor"),CONCATENATE("R9C",'Mapa final'!$O$31),"")</f>
        <v/>
      </c>
      <c r="T54" s="77" t="str">
        <f>IF(AND('Mapa final'!$Y$32="Muy Baja",'Mapa final'!$AA$32="Menor"),CONCATENATE("R9C",'Mapa final'!$O$32),"")</f>
        <v/>
      </c>
      <c r="U54" s="78" t="str">
        <f>IF(AND('Mapa final'!$Y$33="Muy Baja",'Mapa final'!$AA$33="Menor"),CONCATENATE("R9C",'Mapa final'!$O$33),"")</f>
        <v/>
      </c>
      <c r="V54" s="67" t="str">
        <f>IF(AND('Mapa final'!$Y$28="Muy Baja",'Mapa final'!$AA$28="Moderado"),CONCATENATE("R9C",'Mapa final'!$O$28),"")</f>
        <v/>
      </c>
      <c r="W54" s="68" t="str">
        <f>IF(AND('Mapa final'!$Y$29="Muy Baja",'Mapa final'!$AA$29="Moderado"),CONCATENATE("R9C",'Mapa final'!$O$29),"")</f>
        <v/>
      </c>
      <c r="X54" s="68" t="str">
        <f>IF(AND('Mapa final'!$Y$30="Muy Baja",'Mapa final'!$AA$30="Moderado"),CONCATENATE("R9C",'Mapa final'!$O$30),"")</f>
        <v/>
      </c>
      <c r="Y54" s="68" t="str">
        <f>IF(AND('Mapa final'!$Y$31="Muy Baja",'Mapa final'!$AA$31="Moderado"),CONCATENATE("R9C",'Mapa final'!$O$31),"")</f>
        <v/>
      </c>
      <c r="Z54" s="68" t="str">
        <f>IF(AND('Mapa final'!$Y$32="Muy Baja",'Mapa final'!$AA$32="Moderado"),CONCATENATE("R9C",'Mapa final'!$O$32),"")</f>
        <v/>
      </c>
      <c r="AA54" s="69" t="str">
        <f>IF(AND('Mapa final'!$Y$33="Muy Baja",'Mapa final'!$AA$33="Moderado"),CONCATENATE("R9C",'Mapa final'!$O$33),"")</f>
        <v/>
      </c>
      <c r="AB54" s="52" t="str">
        <f>IF(AND('Mapa final'!$Y$28="Muy Baja",'Mapa final'!$AA$28="Mayor"),CONCATENATE("R9C",'Mapa final'!$O$28),"")</f>
        <v/>
      </c>
      <c r="AC54" s="53" t="str">
        <f>IF(AND('Mapa final'!$Y$29="Muy Baja",'Mapa final'!$AA$29="Mayor"),CONCATENATE("R9C",'Mapa final'!$O$29),"")</f>
        <v/>
      </c>
      <c r="AD54" s="53" t="str">
        <f>IF(AND('Mapa final'!$Y$30="Muy Baja",'Mapa final'!$AA$30="Mayor"),CONCATENATE("R9C",'Mapa final'!$O$30),"")</f>
        <v/>
      </c>
      <c r="AE54" s="53" t="str">
        <f>IF(AND('Mapa final'!$Y$31="Muy Baja",'Mapa final'!$AA$31="Mayor"),CONCATENATE("R9C",'Mapa final'!$O$31),"")</f>
        <v/>
      </c>
      <c r="AF54" s="53" t="str">
        <f>IF(AND('Mapa final'!$Y$32="Muy Baja",'Mapa final'!$AA$32="Mayor"),CONCATENATE("R9C",'Mapa final'!$O$32),"")</f>
        <v/>
      </c>
      <c r="AG54" s="54" t="str">
        <f>IF(AND('Mapa final'!$Y$33="Muy Baja",'Mapa final'!$AA$33="Mayor"),CONCATENATE("R9C",'Mapa final'!$O$33),"")</f>
        <v/>
      </c>
      <c r="AH54" s="55" t="str">
        <f>IF(AND('Mapa final'!$Y$28="Muy Baja",'Mapa final'!$AA$28="Catastrófico"),CONCATENATE("R9C",'Mapa final'!$O$28),"")</f>
        <v/>
      </c>
      <c r="AI54" s="56" t="str">
        <f>IF(AND('Mapa final'!$Y$29="Muy Baja",'Mapa final'!$AA$29="Catastrófico"),CONCATENATE("R9C",'Mapa final'!$O$29),"")</f>
        <v/>
      </c>
      <c r="AJ54" s="56" t="str">
        <f>IF(AND('Mapa final'!$Y$30="Muy Baja",'Mapa final'!$AA$30="Catastrófico"),CONCATENATE("R9C",'Mapa final'!$O$30),"")</f>
        <v/>
      </c>
      <c r="AK54" s="56" t="str">
        <f>IF(AND('Mapa final'!$Y$31="Muy Baja",'Mapa final'!$AA$31="Catastrófico"),CONCATENATE("R9C",'Mapa final'!$O$31),"")</f>
        <v/>
      </c>
      <c r="AL54" s="56" t="str">
        <f>IF(AND('Mapa final'!$Y$32="Muy Baja",'Mapa final'!$AA$32="Catastrófico"),CONCATENATE("R9C",'Mapa final'!$O$32),"")</f>
        <v/>
      </c>
      <c r="AM54" s="57" t="str">
        <f>IF(AND('Mapa final'!$Y$33="Muy Baja",'Mapa final'!$AA$33="Catastrófico"),CONCATENATE("R9C",'Mapa final'!$O$33),"")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96"/>
      <c r="C55" s="296"/>
      <c r="D55" s="297"/>
      <c r="E55" s="340"/>
      <c r="F55" s="341"/>
      <c r="G55" s="341"/>
      <c r="H55" s="341"/>
      <c r="I55" s="342"/>
      <c r="J55" s="79" t="str">
        <f>IF(AND('Mapa final'!$Y$34="Muy Baja",'Mapa final'!$AA$34="Leve"),CONCATENATE("R10C",'Mapa final'!$O$34),"")</f>
        <v/>
      </c>
      <c r="K55" s="80" t="str">
        <f>IF(AND('Mapa final'!$Y$35="Muy Baja",'Mapa final'!$AA$35="Leve"),CONCATENATE("R10C",'Mapa final'!$O$35),"")</f>
        <v/>
      </c>
      <c r="L55" s="80" t="str">
        <f>IF(AND('Mapa final'!$Y$36="Muy Baja",'Mapa final'!$AA$36="Leve"),CONCATENATE("R10C",'Mapa final'!$O$36),"")</f>
        <v/>
      </c>
      <c r="M55" s="80" t="str">
        <f>IF(AND('Mapa final'!$Y$37="Muy Baja",'Mapa final'!$AA$37="Leve"),CONCATENATE("R10C",'Mapa final'!$O$37),"")</f>
        <v/>
      </c>
      <c r="N55" s="80" t="str">
        <f>IF(AND('Mapa final'!$Y$38="Muy Baja",'Mapa final'!$AA$38="Leve"),CONCATENATE("R10C",'Mapa final'!$O$38),"")</f>
        <v/>
      </c>
      <c r="O55" s="81" t="str">
        <f>IF(AND('Mapa final'!$Y$39="Muy Baja",'Mapa final'!$AA$39="Leve"),CONCATENATE("R10C",'Mapa final'!$O$39),"")</f>
        <v/>
      </c>
      <c r="P55" s="79" t="str">
        <f>IF(AND('Mapa final'!$Y$34="Muy Baja",'Mapa final'!$AA$34="Menor"),CONCATENATE("R10C",'Mapa final'!$O$34),"")</f>
        <v/>
      </c>
      <c r="Q55" s="80" t="str">
        <f>IF(AND('Mapa final'!$Y$35="Muy Baja",'Mapa final'!$AA$35="Menor"),CONCATENATE("R10C",'Mapa final'!$O$35),"")</f>
        <v/>
      </c>
      <c r="R55" s="80" t="str">
        <f>IF(AND('Mapa final'!$Y$36="Muy Baja",'Mapa final'!$AA$36="Menor"),CONCATENATE("R10C",'Mapa final'!$O$36),"")</f>
        <v/>
      </c>
      <c r="S55" s="80" t="str">
        <f>IF(AND('Mapa final'!$Y$37="Muy Baja",'Mapa final'!$AA$37="Menor"),CONCATENATE("R10C",'Mapa final'!$O$37),"")</f>
        <v/>
      </c>
      <c r="T55" s="80" t="str">
        <f>IF(AND('Mapa final'!$Y$38="Muy Baja",'Mapa final'!$AA$38="Menor"),CONCATENATE("R10C",'Mapa final'!$O$38),"")</f>
        <v/>
      </c>
      <c r="U55" s="81" t="str">
        <f>IF(AND('Mapa final'!$Y$39="Muy Baja",'Mapa final'!$AA$39="Menor"),CONCATENATE("R10C",'Mapa final'!$O$39),"")</f>
        <v/>
      </c>
      <c r="V55" s="70" t="str">
        <f>IF(AND('Mapa final'!$Y$34="Muy Baja",'Mapa final'!$AA$34="Moderado"),CONCATENATE("R10C",'Mapa final'!$O$34),"")</f>
        <v/>
      </c>
      <c r="W55" s="71" t="str">
        <f>IF(AND('Mapa final'!$Y$35="Muy Baja",'Mapa final'!$AA$35="Moderado"),CONCATENATE("R10C",'Mapa final'!$O$35),"")</f>
        <v/>
      </c>
      <c r="X55" s="71" t="str">
        <f>IF(AND('Mapa final'!$Y$36="Muy Baja",'Mapa final'!$AA$36="Moderado"),CONCATENATE("R10C",'Mapa final'!$O$36),"")</f>
        <v/>
      </c>
      <c r="Y55" s="71" t="str">
        <f>IF(AND('Mapa final'!$Y$37="Muy Baja",'Mapa final'!$AA$37="Moderado"),CONCATENATE("R10C",'Mapa final'!$O$37),"")</f>
        <v/>
      </c>
      <c r="Z55" s="71" t="str">
        <f>IF(AND('Mapa final'!$Y$38="Muy Baja",'Mapa final'!$AA$38="Moderado"),CONCATENATE("R10C",'Mapa final'!$O$38),"")</f>
        <v/>
      </c>
      <c r="AA55" s="72" t="str">
        <f>IF(AND('Mapa final'!$Y$39="Muy Baja",'Mapa final'!$AA$39="Moderado"),CONCATENATE("R10C",'Mapa final'!$O$39),"")</f>
        <v/>
      </c>
      <c r="AB55" s="58" t="str">
        <f>IF(AND('Mapa final'!$Y$34="Muy Baja",'Mapa final'!$AA$34="Mayor"),CONCATENATE("R10C",'Mapa final'!$O$34),"")</f>
        <v/>
      </c>
      <c r="AC55" s="59" t="str">
        <f>IF(AND('Mapa final'!$Y$35="Muy Baja",'Mapa final'!$AA$35="Mayor"),CONCATENATE("R10C",'Mapa final'!$O$35),"")</f>
        <v/>
      </c>
      <c r="AD55" s="59" t="str">
        <f>IF(AND('Mapa final'!$Y$36="Muy Baja",'Mapa final'!$AA$36="Mayor"),CONCATENATE("R10C",'Mapa final'!$O$36),"")</f>
        <v/>
      </c>
      <c r="AE55" s="59" t="str">
        <f>IF(AND('Mapa final'!$Y$37="Muy Baja",'Mapa final'!$AA$37="Mayor"),CONCATENATE("R10C",'Mapa final'!$O$37),"")</f>
        <v/>
      </c>
      <c r="AF55" s="59" t="str">
        <f>IF(AND('Mapa final'!$Y$38="Muy Baja",'Mapa final'!$AA$38="Mayor"),CONCATENATE("R10C",'Mapa final'!$O$38),"")</f>
        <v/>
      </c>
      <c r="AG55" s="60" t="str">
        <f>IF(AND('Mapa final'!$Y$39="Muy Baja",'Mapa final'!$AA$39="Mayor"),CONCATENATE("R10C",'Mapa final'!$O$39),"")</f>
        <v/>
      </c>
      <c r="AH55" s="61" t="str">
        <f>IF(AND('Mapa final'!$Y$34="Muy Baja",'Mapa final'!$AA$34="Catastrófico"),CONCATENATE("R10C",'Mapa final'!$O$34),"")</f>
        <v/>
      </c>
      <c r="AI55" s="62" t="str">
        <f>IF(AND('Mapa final'!$Y$35="Muy Baja",'Mapa final'!$AA$35="Catastrófico"),CONCATENATE("R10C",'Mapa final'!$O$35),"")</f>
        <v/>
      </c>
      <c r="AJ55" s="62" t="str">
        <f>IF(AND('Mapa final'!$Y$36="Muy Baja",'Mapa final'!$AA$36="Catastrófico"),CONCATENATE("R10C",'Mapa final'!$O$36),"")</f>
        <v/>
      </c>
      <c r="AK55" s="62" t="str">
        <f>IF(AND('Mapa final'!$Y$37="Muy Baja",'Mapa final'!$AA$37="Catastrófico"),CONCATENATE("R10C",'Mapa final'!$O$37),"")</f>
        <v/>
      </c>
      <c r="AL55" s="62" t="str">
        <f>IF(AND('Mapa final'!$Y$38="Muy Baja",'Mapa final'!$AA$38="Catastrófico"),CONCATENATE("R10C",'Mapa final'!$O$38),"")</f>
        <v/>
      </c>
      <c r="AM55" s="63" t="str">
        <f>IF(AND('Mapa final'!$Y$39="Muy Baja",'Mapa final'!$AA$39="Catastrófico"),CONCATENATE("R10C",'Mapa final'!$O$39),"")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4" t="s">
        <v>112</v>
      </c>
      <c r="K56" s="335"/>
      <c r="L56" s="335"/>
      <c r="M56" s="335"/>
      <c r="N56" s="335"/>
      <c r="O56" s="336"/>
      <c r="P56" s="334" t="s">
        <v>111</v>
      </c>
      <c r="Q56" s="335"/>
      <c r="R56" s="335"/>
      <c r="S56" s="335"/>
      <c r="T56" s="335"/>
      <c r="U56" s="336"/>
      <c r="V56" s="334" t="s">
        <v>110</v>
      </c>
      <c r="W56" s="335"/>
      <c r="X56" s="335"/>
      <c r="Y56" s="335"/>
      <c r="Z56" s="335"/>
      <c r="AA56" s="336"/>
      <c r="AB56" s="334" t="s">
        <v>109</v>
      </c>
      <c r="AC56" s="343"/>
      <c r="AD56" s="335"/>
      <c r="AE56" s="335"/>
      <c r="AF56" s="335"/>
      <c r="AG56" s="336"/>
      <c r="AH56" s="334" t="s">
        <v>108</v>
      </c>
      <c r="AI56" s="335"/>
      <c r="AJ56" s="335"/>
      <c r="AK56" s="335"/>
      <c r="AL56" s="335"/>
      <c r="AM56" s="33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7"/>
      <c r="K57" s="338"/>
      <c r="L57" s="338"/>
      <c r="M57" s="338"/>
      <c r="N57" s="338"/>
      <c r="O57" s="339"/>
      <c r="P57" s="337"/>
      <c r="Q57" s="338"/>
      <c r="R57" s="338"/>
      <c r="S57" s="338"/>
      <c r="T57" s="338"/>
      <c r="U57" s="339"/>
      <c r="V57" s="337"/>
      <c r="W57" s="338"/>
      <c r="X57" s="338"/>
      <c r="Y57" s="338"/>
      <c r="Z57" s="338"/>
      <c r="AA57" s="339"/>
      <c r="AB57" s="337"/>
      <c r="AC57" s="338"/>
      <c r="AD57" s="338"/>
      <c r="AE57" s="338"/>
      <c r="AF57" s="338"/>
      <c r="AG57" s="339"/>
      <c r="AH57" s="337"/>
      <c r="AI57" s="338"/>
      <c r="AJ57" s="338"/>
      <c r="AK57" s="338"/>
      <c r="AL57" s="338"/>
      <c r="AM57" s="33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7"/>
      <c r="K58" s="338"/>
      <c r="L58" s="338"/>
      <c r="M58" s="338"/>
      <c r="N58" s="338"/>
      <c r="O58" s="339"/>
      <c r="P58" s="337"/>
      <c r="Q58" s="338"/>
      <c r="R58" s="338"/>
      <c r="S58" s="338"/>
      <c r="T58" s="338"/>
      <c r="U58" s="339"/>
      <c r="V58" s="337"/>
      <c r="W58" s="338"/>
      <c r="X58" s="338"/>
      <c r="Y58" s="338"/>
      <c r="Z58" s="338"/>
      <c r="AA58" s="339"/>
      <c r="AB58" s="337"/>
      <c r="AC58" s="338"/>
      <c r="AD58" s="338"/>
      <c r="AE58" s="338"/>
      <c r="AF58" s="338"/>
      <c r="AG58" s="339"/>
      <c r="AH58" s="337"/>
      <c r="AI58" s="338"/>
      <c r="AJ58" s="338"/>
      <c r="AK58" s="338"/>
      <c r="AL58" s="338"/>
      <c r="AM58" s="33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7"/>
      <c r="K59" s="338"/>
      <c r="L59" s="338"/>
      <c r="M59" s="338"/>
      <c r="N59" s="338"/>
      <c r="O59" s="339"/>
      <c r="P59" s="337"/>
      <c r="Q59" s="338"/>
      <c r="R59" s="338"/>
      <c r="S59" s="338"/>
      <c r="T59" s="338"/>
      <c r="U59" s="339"/>
      <c r="V59" s="337"/>
      <c r="W59" s="338"/>
      <c r="X59" s="338"/>
      <c r="Y59" s="338"/>
      <c r="Z59" s="338"/>
      <c r="AA59" s="339"/>
      <c r="AB59" s="337"/>
      <c r="AC59" s="338"/>
      <c r="AD59" s="338"/>
      <c r="AE59" s="338"/>
      <c r="AF59" s="338"/>
      <c r="AG59" s="339"/>
      <c r="AH59" s="337"/>
      <c r="AI59" s="338"/>
      <c r="AJ59" s="338"/>
      <c r="AK59" s="338"/>
      <c r="AL59" s="338"/>
      <c r="AM59" s="33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7"/>
      <c r="K60" s="338"/>
      <c r="L60" s="338"/>
      <c r="M60" s="338"/>
      <c r="N60" s="338"/>
      <c r="O60" s="339"/>
      <c r="P60" s="337"/>
      <c r="Q60" s="338"/>
      <c r="R60" s="338"/>
      <c r="S60" s="338"/>
      <c r="T60" s="338"/>
      <c r="U60" s="339"/>
      <c r="V60" s="337"/>
      <c r="W60" s="338"/>
      <c r="X60" s="338"/>
      <c r="Y60" s="338"/>
      <c r="Z60" s="338"/>
      <c r="AA60" s="339"/>
      <c r="AB60" s="337"/>
      <c r="AC60" s="338"/>
      <c r="AD60" s="338"/>
      <c r="AE60" s="338"/>
      <c r="AF60" s="338"/>
      <c r="AG60" s="339"/>
      <c r="AH60" s="337"/>
      <c r="AI60" s="338"/>
      <c r="AJ60" s="338"/>
      <c r="AK60" s="338"/>
      <c r="AL60" s="338"/>
      <c r="AM60" s="33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0"/>
      <c r="K61" s="341"/>
      <c r="L61" s="341"/>
      <c r="M61" s="341"/>
      <c r="N61" s="341"/>
      <c r="O61" s="342"/>
      <c r="P61" s="340"/>
      <c r="Q61" s="341"/>
      <c r="R61" s="341"/>
      <c r="S61" s="341"/>
      <c r="T61" s="341"/>
      <c r="U61" s="342"/>
      <c r="V61" s="340"/>
      <c r="W61" s="341"/>
      <c r="X61" s="341"/>
      <c r="Y61" s="341"/>
      <c r="Z61" s="341"/>
      <c r="AA61" s="342"/>
      <c r="AB61" s="340"/>
      <c r="AC61" s="341"/>
      <c r="AD61" s="341"/>
      <c r="AE61" s="341"/>
      <c r="AF61" s="341"/>
      <c r="AG61" s="342"/>
      <c r="AH61" s="340"/>
      <c r="AI61" s="341"/>
      <c r="AJ61" s="341"/>
      <c r="AK61" s="341"/>
      <c r="AL61" s="341"/>
      <c r="AM61" s="34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3" t="s">
        <v>55</v>
      </c>
      <c r="C1" s="383"/>
      <c r="D1" s="3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4" t="s">
        <v>63</v>
      </c>
      <c r="C1" s="384"/>
      <c r="D1" s="38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5" t="s">
        <v>78</v>
      </c>
      <c r="C1" s="386"/>
      <c r="D1" s="386"/>
      <c r="E1" s="386"/>
      <c r="F1" s="387"/>
    </row>
    <row r="2" spans="2:6" ht="16.5" thickBot="1" x14ac:dyDescent="0.3">
      <c r="B2" s="89"/>
      <c r="C2" s="89"/>
      <c r="D2" s="89"/>
      <c r="E2" s="89"/>
      <c r="F2" s="89"/>
    </row>
    <row r="3" spans="2:6" ht="16.5" thickBot="1" x14ac:dyDescent="0.25">
      <c r="B3" s="389" t="s">
        <v>64</v>
      </c>
      <c r="C3" s="390"/>
      <c r="D3" s="390"/>
      <c r="E3" s="101" t="s">
        <v>65</v>
      </c>
      <c r="F3" s="102" t="s">
        <v>66</v>
      </c>
    </row>
    <row r="4" spans="2:6" ht="31.5" x14ac:dyDescent="0.2">
      <c r="B4" s="391" t="s">
        <v>67</v>
      </c>
      <c r="C4" s="393" t="s">
        <v>13</v>
      </c>
      <c r="D4" s="90" t="s">
        <v>14</v>
      </c>
      <c r="E4" s="91" t="s">
        <v>68</v>
      </c>
      <c r="F4" s="92">
        <v>0.25</v>
      </c>
    </row>
    <row r="5" spans="2:6" ht="47.25" x14ac:dyDescent="0.2">
      <c r="B5" s="392"/>
      <c r="C5" s="394"/>
      <c r="D5" s="93" t="s">
        <v>15</v>
      </c>
      <c r="E5" s="94" t="s">
        <v>69</v>
      </c>
      <c r="F5" s="95">
        <v>0.15</v>
      </c>
    </row>
    <row r="6" spans="2:6" ht="47.25" x14ac:dyDescent="0.2">
      <c r="B6" s="392"/>
      <c r="C6" s="394"/>
      <c r="D6" s="93" t="s">
        <v>16</v>
      </c>
      <c r="E6" s="94" t="s">
        <v>70</v>
      </c>
      <c r="F6" s="95">
        <v>0.1</v>
      </c>
    </row>
    <row r="7" spans="2:6" ht="63" x14ac:dyDescent="0.2">
      <c r="B7" s="392"/>
      <c r="C7" s="394" t="s">
        <v>17</v>
      </c>
      <c r="D7" s="93" t="s">
        <v>10</v>
      </c>
      <c r="E7" s="94" t="s">
        <v>71</v>
      </c>
      <c r="F7" s="95">
        <v>0.25</v>
      </c>
    </row>
    <row r="8" spans="2:6" ht="31.5" x14ac:dyDescent="0.2">
      <c r="B8" s="392"/>
      <c r="C8" s="394"/>
      <c r="D8" s="93" t="s">
        <v>9</v>
      </c>
      <c r="E8" s="94" t="s">
        <v>72</v>
      </c>
      <c r="F8" s="95">
        <v>0.15</v>
      </c>
    </row>
    <row r="9" spans="2:6" ht="47.25" x14ac:dyDescent="0.2">
      <c r="B9" s="392" t="s">
        <v>162</v>
      </c>
      <c r="C9" s="394" t="s">
        <v>18</v>
      </c>
      <c r="D9" s="93" t="s">
        <v>19</v>
      </c>
      <c r="E9" s="94" t="s">
        <v>73</v>
      </c>
      <c r="F9" s="96" t="s">
        <v>74</v>
      </c>
    </row>
    <row r="10" spans="2:6" ht="63" x14ac:dyDescent="0.2">
      <c r="B10" s="392"/>
      <c r="C10" s="394"/>
      <c r="D10" s="93" t="s">
        <v>20</v>
      </c>
      <c r="E10" s="94" t="s">
        <v>75</v>
      </c>
      <c r="F10" s="96" t="s">
        <v>74</v>
      </c>
    </row>
    <row r="11" spans="2:6" ht="47.25" x14ac:dyDescent="0.2">
      <c r="B11" s="392"/>
      <c r="C11" s="394" t="s">
        <v>21</v>
      </c>
      <c r="D11" s="93" t="s">
        <v>22</v>
      </c>
      <c r="E11" s="94" t="s">
        <v>76</v>
      </c>
      <c r="F11" s="96" t="s">
        <v>74</v>
      </c>
    </row>
    <row r="12" spans="2:6" ht="47.25" x14ac:dyDescent="0.2">
      <c r="B12" s="392"/>
      <c r="C12" s="394"/>
      <c r="D12" s="93" t="s">
        <v>23</v>
      </c>
      <c r="E12" s="94" t="s">
        <v>77</v>
      </c>
      <c r="F12" s="96" t="s">
        <v>74</v>
      </c>
    </row>
    <row r="13" spans="2:6" ht="31.5" x14ac:dyDescent="0.2">
      <c r="B13" s="392"/>
      <c r="C13" s="394" t="s">
        <v>24</v>
      </c>
      <c r="D13" s="93" t="s">
        <v>119</v>
      </c>
      <c r="E13" s="94" t="s">
        <v>122</v>
      </c>
      <c r="F13" s="96" t="s">
        <v>74</v>
      </c>
    </row>
    <row r="14" spans="2:6" ht="32.25" thickBot="1" x14ac:dyDescent="0.25">
      <c r="B14" s="395"/>
      <c r="C14" s="396"/>
      <c r="D14" s="97" t="s">
        <v>120</v>
      </c>
      <c r="E14" s="98" t="s">
        <v>121</v>
      </c>
      <c r="F14" s="99" t="s">
        <v>74</v>
      </c>
    </row>
    <row r="15" spans="2:6" ht="49.5" customHeight="1" x14ac:dyDescent="0.2">
      <c r="B15" s="388" t="s">
        <v>159</v>
      </c>
      <c r="C15" s="388"/>
      <c r="D15" s="388"/>
      <c r="E15" s="388"/>
      <c r="F15" s="38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2020-05-13T01:12:22Z</cp:lastPrinted>
  <dcterms:created xsi:type="dcterms:W3CDTF">2020-03-24T23:12:47Z</dcterms:created>
  <dcterms:modified xsi:type="dcterms:W3CDTF">2025-07-09T16:30:31Z</dcterms:modified>
</cp:coreProperties>
</file>