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4 EDAT\03 Documentos\01 SIG\01 Procesos\Evidencias\04 Riesgos\Mapas de Riesgos Vr. 0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1" i="13" l="1"/>
  <c r="F211" i="13"/>
  <c r="F212" i="13"/>
  <c r="F213" i="13"/>
  <c r="F214" i="13"/>
  <c r="F215" i="13"/>
  <c r="F216" i="13"/>
  <c r="F217" i="13"/>
  <c r="F218" i="13"/>
  <c r="F219" i="13"/>
  <c r="F220" i="13"/>
  <c r="F210" i="13"/>
  <c r="K62" i="1"/>
  <c r="K60" i="1"/>
  <c r="K52" i="1"/>
  <c r="K45" i="1"/>
  <c r="K39" i="1"/>
  <c r="K51" i="1"/>
  <c r="K38" i="1"/>
  <c r="K49" i="1"/>
  <c r="K28" i="1"/>
  <c r="K24" i="1"/>
  <c r="K36" i="1"/>
  <c r="K61" i="1"/>
  <c r="K40" i="1"/>
  <c r="K30" i="1"/>
  <c r="K22" i="1"/>
  <c r="K31" i="1"/>
  <c r="K27" i="1"/>
  <c r="K34" i="1"/>
  <c r="K58" i="1"/>
  <c r="B221" i="13" a="1"/>
  <c r="K44" i="1"/>
  <c r="K50" i="1"/>
  <c r="K26" i="1"/>
  <c r="K25" i="1"/>
  <c r="K37" i="1"/>
  <c r="K33" i="1"/>
  <c r="K55" i="1"/>
  <c r="K57" i="1"/>
  <c r="K46" i="1"/>
  <c r="K63" i="1"/>
  <c r="K42" i="1"/>
  <c r="K48" i="1"/>
  <c r="K43" i="1"/>
  <c r="K64" i="1"/>
  <c r="K32" i="1"/>
  <c r="K54" i="1"/>
  <c r="K56" i="1"/>
  <c r="B221" i="13" l="1"/>
  <c r="Q47" i="1"/>
  <c r="Q42" i="1"/>
  <c r="Q36"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4" i="1" l="1"/>
  <c r="Q64" i="1"/>
  <c r="T63" i="1"/>
  <c r="Q63" i="1"/>
  <c r="T62" i="1"/>
  <c r="Q62" i="1"/>
  <c r="T61" i="1"/>
  <c r="Q61" i="1"/>
  <c r="T60" i="1"/>
  <c r="Q60" i="1"/>
  <c r="T59" i="1"/>
  <c r="Q59" i="1"/>
  <c r="AB60" i="1" s="1"/>
  <c r="H59" i="1"/>
  <c r="I59" i="1" s="1"/>
  <c r="T58" i="1"/>
  <c r="Q58" i="1"/>
  <c r="T57" i="1"/>
  <c r="Q57" i="1"/>
  <c r="T56" i="1"/>
  <c r="Q56" i="1"/>
  <c r="T55" i="1"/>
  <c r="Q55" i="1"/>
  <c r="T54" i="1"/>
  <c r="Q54" i="1"/>
  <c r="T53" i="1"/>
  <c r="Q53" i="1"/>
  <c r="H53" i="1"/>
  <c r="I53" i="1" s="1"/>
  <c r="T52" i="1"/>
  <c r="Q52" i="1"/>
  <c r="T51" i="1"/>
  <c r="Q51" i="1"/>
  <c r="T50" i="1"/>
  <c r="Q50" i="1"/>
  <c r="T49" i="1"/>
  <c r="Q49" i="1"/>
  <c r="T48" i="1"/>
  <c r="Q48" i="1"/>
  <c r="AB48" i="1" s="1"/>
  <c r="T47" i="1"/>
  <c r="H47" i="1"/>
  <c r="I47" i="1" s="1"/>
  <c r="T46" i="1"/>
  <c r="Q46" i="1"/>
  <c r="T45" i="1"/>
  <c r="Q45" i="1"/>
  <c r="T44" i="1"/>
  <c r="Q44" i="1"/>
  <c r="T43" i="1"/>
  <c r="Q43" i="1"/>
  <c r="T42" i="1"/>
  <c r="T41" i="1"/>
  <c r="Q41" i="1"/>
  <c r="AB42" i="1" s="1"/>
  <c r="H41" i="1"/>
  <c r="I41" i="1" s="1"/>
  <c r="T40" i="1"/>
  <c r="Q40" i="1"/>
  <c r="T39" i="1"/>
  <c r="Q39" i="1"/>
  <c r="T38" i="1"/>
  <c r="Q38" i="1"/>
  <c r="T37" i="1"/>
  <c r="Q37" i="1"/>
  <c r="T36" i="1"/>
  <c r="T35" i="1"/>
  <c r="Q35" i="1"/>
  <c r="AB36" i="1" s="1"/>
  <c r="H35" i="1"/>
  <c r="I35" i="1" s="1"/>
  <c r="T34" i="1"/>
  <c r="Q34" i="1"/>
  <c r="T33" i="1"/>
  <c r="Q33" i="1"/>
  <c r="T32" i="1"/>
  <c r="Q32" i="1"/>
  <c r="T31" i="1"/>
  <c r="Q31" i="1"/>
  <c r="T30" i="1"/>
  <c r="Q30" i="1"/>
  <c r="T29" i="1"/>
  <c r="Q29" i="1"/>
  <c r="H29" i="1"/>
  <c r="I29" i="1" s="1"/>
  <c r="T28" i="1"/>
  <c r="Q28" i="1"/>
  <c r="T27" i="1"/>
  <c r="Q27" i="1"/>
  <c r="T26" i="1"/>
  <c r="Q26" i="1"/>
  <c r="T25" i="1"/>
  <c r="Q25" i="1"/>
  <c r="T24" i="1"/>
  <c r="Q24" i="1"/>
  <c r="T23" i="1"/>
  <c r="H23" i="1"/>
  <c r="I23" i="1" s="1"/>
  <c r="T22" i="1"/>
  <c r="Q22" i="1"/>
  <c r="T21" i="1"/>
  <c r="Q21" i="1"/>
  <c r="AB22" i="1" s="1"/>
  <c r="I21" i="1"/>
  <c r="AB24" i="1" l="1"/>
  <c r="AB30" i="1"/>
  <c r="AB54" i="1"/>
  <c r="AB45" i="1"/>
  <c r="AA45" i="1" s="1"/>
  <c r="AB46" i="1"/>
  <c r="AA46" i="1" s="1"/>
  <c r="X59" i="1"/>
  <c r="X53" i="1"/>
  <c r="X47" i="1"/>
  <c r="X41" i="1"/>
  <c r="X45" i="1"/>
  <c r="X46" i="1"/>
  <c r="X35" i="1"/>
  <c r="X29" i="1"/>
  <c r="X23" i="1"/>
  <c r="X21" i="1"/>
  <c r="Y59" i="1" l="1"/>
  <c r="Z59" i="1"/>
  <c r="X60" i="1" s="1"/>
  <c r="Y60" i="1" s="1"/>
  <c r="Y53" i="1"/>
  <c r="Z53" i="1"/>
  <c r="X54" i="1" s="1"/>
  <c r="Z54" i="1" s="1"/>
  <c r="X55" i="1" s="1"/>
  <c r="Y47" i="1"/>
  <c r="Z47" i="1"/>
  <c r="X48" i="1" s="1"/>
  <c r="Z48" i="1" s="1"/>
  <c r="X49" i="1" s="1"/>
  <c r="Y46" i="1"/>
  <c r="Z46" i="1"/>
  <c r="Y45" i="1"/>
  <c r="Z45" i="1"/>
  <c r="Y41" i="1"/>
  <c r="Z41" i="1"/>
  <c r="Y35" i="1"/>
  <c r="Z35" i="1"/>
  <c r="X36" i="1" s="1"/>
  <c r="Z36" i="1" s="1"/>
  <c r="X37" i="1" s="1"/>
  <c r="Y29" i="1"/>
  <c r="Z29" i="1"/>
  <c r="Y23" i="1"/>
  <c r="Z23" i="1"/>
  <c r="X24" i="1" s="1"/>
  <c r="Z24" i="1" s="1"/>
  <c r="X25" i="1" s="1"/>
  <c r="Y25" i="1" s="1"/>
  <c r="Y21" i="1"/>
  <c r="Z21" i="1"/>
  <c r="X22" i="1" s="1"/>
  <c r="Y22" i="1" s="1"/>
  <c r="Y54" i="1" l="1"/>
  <c r="Y48" i="1"/>
  <c r="Z22" i="1"/>
  <c r="Y36" i="1"/>
  <c r="Y24" i="1"/>
  <c r="Y37" i="1"/>
  <c r="Z37" i="1"/>
  <c r="Z55" i="1"/>
  <c r="X56" i="1" s="1"/>
  <c r="Y55" i="1"/>
  <c r="Z49" i="1"/>
  <c r="X50" i="1" s="1"/>
  <c r="Y49" i="1"/>
  <c r="Z60" i="1"/>
  <c r="X61" i="1" s="1"/>
  <c r="X30" i="1"/>
  <c r="X42" i="1"/>
  <c r="X43" i="1"/>
  <c r="Z25"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45" i="1"/>
  <c r="AC46" i="1"/>
  <c r="Y56" i="1" l="1"/>
  <c r="Z56" i="1"/>
  <c r="Y50" i="1"/>
  <c r="Z50" i="1"/>
  <c r="X51" i="1" s="1"/>
  <c r="Y43" i="1"/>
  <c r="Z43" i="1"/>
  <c r="X44" i="1" s="1"/>
  <c r="Y61" i="1"/>
  <c r="Z61" i="1"/>
  <c r="X62" i="1" s="1"/>
  <c r="Y42" i="1"/>
  <c r="Z42" i="1"/>
  <c r="X38" i="1"/>
  <c r="Y30" i="1"/>
  <c r="Z30" i="1"/>
  <c r="X31" i="1" s="1"/>
  <c r="Y31" i="1" s="1"/>
  <c r="X27" i="1"/>
  <c r="Y27" i="1" s="1"/>
  <c r="X26" i="1"/>
  <c r="Z31" i="1" l="1"/>
  <c r="X32" i="1" s="1"/>
  <c r="Z32" i="1" s="1"/>
  <c r="X33" i="1" s="1"/>
  <c r="Y51" i="1"/>
  <c r="Z51" i="1"/>
  <c r="X52" i="1" s="1"/>
  <c r="X57" i="1"/>
  <c r="X58" i="1"/>
  <c r="Y38" i="1"/>
  <c r="Z38" i="1"/>
  <c r="X39" i="1" s="1"/>
  <c r="Y39" i="1" s="1"/>
  <c r="Y32" i="1"/>
  <c r="Y44" i="1"/>
  <c r="Z44" i="1"/>
  <c r="Z62" i="1"/>
  <c r="Y62" i="1"/>
  <c r="Y26" i="1"/>
  <c r="Z26" i="1"/>
  <c r="Z27" i="1"/>
  <c r="X28" i="1" s="1"/>
  <c r="Y58" i="1" l="1"/>
  <c r="Z58" i="1"/>
  <c r="Y57" i="1"/>
  <c r="Z57" i="1"/>
  <c r="Y52" i="1"/>
  <c r="Z52" i="1"/>
  <c r="X63" i="1"/>
  <c r="X64" i="1"/>
  <c r="Z39" i="1"/>
  <c r="X40" i="1" s="1"/>
  <c r="Y40" i="1" s="1"/>
  <c r="Z33" i="1"/>
  <c r="X34" i="1" s="1"/>
  <c r="Y33" i="1"/>
  <c r="Y28" i="1"/>
  <c r="Z28" i="1"/>
  <c r="Y64" i="1" l="1"/>
  <c r="Z64" i="1"/>
  <c r="Y63" i="1"/>
  <c r="Z63" i="1"/>
  <c r="Y34" i="1"/>
  <c r="Z34" i="1"/>
  <c r="Z40" i="1"/>
  <c r="AB61" i="1" l="1"/>
  <c r="AB53" i="1"/>
  <c r="AB35" i="1"/>
  <c r="AA35" i="1" s="1"/>
  <c r="AB47" i="1"/>
  <c r="AA47" i="1" s="1"/>
  <c r="AB41" i="1"/>
  <c r="AA41" i="1" s="1"/>
  <c r="AB29" i="1"/>
  <c r="AA29" i="1" s="1"/>
  <c r="J40" i="19" l="1"/>
  <c r="V30" i="19"/>
  <c r="AH20" i="19"/>
  <c r="J30" i="19"/>
  <c r="V20" i="19"/>
  <c r="AH10" i="19"/>
  <c r="P10" i="19"/>
  <c r="AB50" i="19"/>
  <c r="J50" i="19"/>
  <c r="AB40" i="19"/>
  <c r="P30" i="19"/>
  <c r="V50" i="19"/>
  <c r="P50" i="19"/>
  <c r="AB10" i="19"/>
  <c r="AH30" i="19"/>
  <c r="AH40" i="19"/>
  <c r="J10" i="19"/>
  <c r="AB20" i="19"/>
  <c r="AH50" i="19"/>
  <c r="AC29" i="1"/>
  <c r="V10" i="19"/>
  <c r="P20" i="19"/>
  <c r="J20" i="19"/>
  <c r="P40" i="19"/>
  <c r="V40" i="19"/>
  <c r="AB30" i="19"/>
  <c r="J11" i="19"/>
  <c r="V11" i="19"/>
  <c r="AB21" i="19"/>
  <c r="P31" i="19"/>
  <c r="J31" i="19"/>
  <c r="AB41" i="19"/>
  <c r="AC35" i="1"/>
  <c r="AH41" i="19"/>
  <c r="P41" i="19"/>
  <c r="J21" i="19"/>
  <c r="AB31" i="19"/>
  <c r="AB51" i="19"/>
  <c r="P21" i="19"/>
  <c r="V41" i="19"/>
  <c r="V31" i="19"/>
  <c r="AH21" i="19"/>
  <c r="AB11" i="19"/>
  <c r="P51" i="19"/>
  <c r="V21" i="19"/>
  <c r="AH31" i="19"/>
  <c r="V51" i="19"/>
  <c r="J51" i="19"/>
  <c r="AH51" i="19"/>
  <c r="AH11" i="19"/>
  <c r="J41" i="19"/>
  <c r="P11" i="19"/>
  <c r="AA22" i="1"/>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C4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3" i="1"/>
  <c r="AA60" i="1"/>
  <c r="AA61" i="1"/>
  <c r="AB62" i="1"/>
  <c r="AB31" i="1"/>
  <c r="AA30" i="1"/>
  <c r="AA36" i="1"/>
  <c r="AB37" i="1"/>
  <c r="AA37" i="1" s="1"/>
  <c r="AB38" i="1"/>
  <c r="V32" i="19"/>
  <c r="P42" i="19"/>
  <c r="J12" i="19"/>
  <c r="J32" i="19"/>
  <c r="AB52" i="19"/>
  <c r="AC41" i="1"/>
  <c r="J22" i="19"/>
  <c r="V22" i="19"/>
  <c r="J52" i="19"/>
  <c r="AH12" i="19"/>
  <c r="J42" i="19"/>
  <c r="AH42" i="19"/>
  <c r="P32" i="19"/>
  <c r="AB12" i="19"/>
  <c r="AH32" i="19"/>
  <c r="AB32" i="19"/>
  <c r="AB42" i="19"/>
  <c r="V42" i="19"/>
  <c r="V12" i="19"/>
  <c r="V52" i="19"/>
  <c r="AB22" i="19"/>
  <c r="AH52" i="19"/>
  <c r="AH22" i="19"/>
  <c r="P22" i="19"/>
  <c r="P12" i="19"/>
  <c r="P52" i="19"/>
  <c r="AB43" i="1"/>
  <c r="AA43" i="1" s="1"/>
  <c r="AB44" i="1"/>
  <c r="AA44" i="1" s="1"/>
  <c r="AA42" i="1"/>
  <c r="AA48" i="1"/>
  <c r="AB49" i="1"/>
  <c r="AA54" i="1"/>
  <c r="AB55" i="1"/>
  <c r="AA24" i="1"/>
  <c r="AB25"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62" i="1"/>
  <c r="AB63" i="1"/>
  <c r="K35" i="19"/>
  <c r="AC25" i="19"/>
  <c r="K45" i="19"/>
  <c r="AI45" i="19"/>
  <c r="W45" i="19"/>
  <c r="Q35" i="19"/>
  <c r="K55" i="19"/>
  <c r="AC15" i="19"/>
  <c r="Q15" i="19"/>
  <c r="AC35" i="19"/>
  <c r="AI35" i="19"/>
  <c r="Q55" i="19"/>
  <c r="AI25" i="19"/>
  <c r="AC6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36" i="1"/>
  <c r="AD55" i="19"/>
  <c r="R15" i="19"/>
  <c r="AJ35" i="19"/>
  <c r="AC6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3" i="1"/>
  <c r="AD12" i="19"/>
  <c r="AD32" i="19"/>
  <c r="AD22" i="19"/>
  <c r="X52" i="19"/>
  <c r="AD52" i="19"/>
  <c r="L42" i="19"/>
  <c r="R42" i="19"/>
  <c r="AJ21" i="19"/>
  <c r="AD31" i="19"/>
  <c r="R21" i="19"/>
  <c r="AD41" i="19"/>
  <c r="AJ11" i="19"/>
  <c r="AJ51" i="19"/>
  <c r="AC37" i="1"/>
  <c r="L41" i="19"/>
  <c r="AD11" i="19"/>
  <c r="L21" i="19"/>
  <c r="L11" i="19"/>
  <c r="X51" i="19"/>
  <c r="X21" i="19"/>
  <c r="R11" i="19"/>
  <c r="R31" i="19"/>
  <c r="AJ41" i="19"/>
  <c r="L31" i="19"/>
  <c r="R51" i="19"/>
  <c r="X31" i="19"/>
  <c r="X11" i="19"/>
  <c r="X41" i="19"/>
  <c r="AJ31" i="19"/>
  <c r="AD51" i="19"/>
  <c r="R41" i="19"/>
  <c r="AD21" i="19"/>
  <c r="L51" i="19"/>
  <c r="AA25" i="1"/>
  <c r="AB26" i="1"/>
  <c r="AA49" i="1"/>
  <c r="AB50" i="1"/>
  <c r="K42" i="19"/>
  <c r="AC32" i="19"/>
  <c r="W42" i="19"/>
  <c r="AI52" i="19"/>
  <c r="K22" i="19"/>
  <c r="Q32" i="19"/>
  <c r="AI12" i="19"/>
  <c r="AC52" i="19"/>
  <c r="Q42" i="19"/>
  <c r="AC42" i="19"/>
  <c r="K12" i="19"/>
  <c r="Q22" i="19"/>
  <c r="W52" i="19"/>
  <c r="AI42" i="19"/>
  <c r="W32" i="19"/>
  <c r="AI22" i="19"/>
  <c r="W12" i="19"/>
  <c r="AI32" i="19"/>
  <c r="AC12" i="19"/>
  <c r="Q12" i="19"/>
  <c r="Q52" i="19"/>
  <c r="AC42" i="1"/>
  <c r="K32" i="19"/>
  <c r="W22" i="19"/>
  <c r="K52" i="19"/>
  <c r="AC22" i="19"/>
  <c r="AC40" i="19"/>
  <c r="W10" i="19"/>
  <c r="AC50" i="19"/>
  <c r="Q10" i="19"/>
  <c r="Q30" i="19"/>
  <c r="W50" i="19"/>
  <c r="K40" i="19"/>
  <c r="Q50" i="19"/>
  <c r="W20" i="19"/>
  <c r="AC30"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A55" i="1"/>
  <c r="AB56" i="1"/>
  <c r="K39" i="19"/>
  <c r="AC39" i="19"/>
  <c r="W29" i="19"/>
  <c r="AI49" i="19"/>
  <c r="W9" i="19"/>
  <c r="AC19" i="19"/>
  <c r="Q49" i="19"/>
  <c r="W49" i="19"/>
  <c r="AC9" i="19"/>
  <c r="AI9" i="19"/>
  <c r="Q29" i="19"/>
  <c r="W39" i="19"/>
  <c r="Q39" i="19"/>
  <c r="AC24"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48" i="1"/>
  <c r="Q33" i="19"/>
  <c r="AI23" i="19"/>
  <c r="K53" i="19"/>
  <c r="AC23" i="19"/>
  <c r="AC13" i="19"/>
  <c r="W23" i="19"/>
  <c r="W33" i="19"/>
  <c r="Q13" i="19"/>
  <c r="W13" i="19"/>
  <c r="AI13" i="19"/>
  <c r="Q43" i="19"/>
  <c r="Q23" i="19"/>
  <c r="W53" i="19"/>
  <c r="M12" i="19"/>
  <c r="AK42" i="19"/>
  <c r="AE32" i="19"/>
  <c r="AC44" i="1"/>
  <c r="M52" i="19"/>
  <c r="S12" i="19"/>
  <c r="M32" i="19"/>
  <c r="S52" i="19"/>
  <c r="Y52" i="19"/>
  <c r="Y42" i="19"/>
  <c r="AK12" i="19"/>
  <c r="S22" i="19"/>
  <c r="AE12" i="19"/>
  <c r="Y22" i="19"/>
  <c r="S32" i="19"/>
  <c r="AK52" i="19"/>
  <c r="M22" i="19"/>
  <c r="AK32" i="19"/>
  <c r="AE22" i="19"/>
  <c r="AE42" i="19"/>
  <c r="Y32" i="19"/>
  <c r="M42" i="19"/>
  <c r="Y12" i="19"/>
  <c r="AE52" i="19"/>
  <c r="AK22" i="19"/>
  <c r="S42" i="19"/>
  <c r="AA38" i="1"/>
  <c r="AB40" i="1"/>
  <c r="AA40" i="1" s="1"/>
  <c r="AB39" i="1"/>
  <c r="AA39" i="1" s="1"/>
  <c r="AA31" i="1"/>
  <c r="AB3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2" i="1"/>
  <c r="R40" i="19" l="1"/>
  <c r="AD10" i="19"/>
  <c r="X40" i="19"/>
  <c r="AJ10" i="19"/>
  <c r="R50" i="19"/>
  <c r="X10" i="19"/>
  <c r="R30" i="19"/>
  <c r="AC31" i="1"/>
  <c r="L10" i="19"/>
  <c r="L50" i="19"/>
  <c r="AJ20" i="19"/>
  <c r="AJ40" i="19"/>
  <c r="AD30" i="19"/>
  <c r="R20" i="19"/>
  <c r="AD50" i="19"/>
  <c r="AJ30" i="19"/>
  <c r="AJ50" i="19"/>
  <c r="X30" i="19"/>
  <c r="AD20" i="19"/>
  <c r="L40" i="19"/>
  <c r="X50" i="19"/>
  <c r="X20" i="19"/>
  <c r="AD40" i="19"/>
  <c r="R10" i="19"/>
  <c r="L30" i="19"/>
  <c r="L20" i="19"/>
  <c r="AA50" i="1"/>
  <c r="AB51" i="1"/>
  <c r="AA63" i="1"/>
  <c r="AB64" i="1"/>
  <c r="AA64"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AC49" i="1"/>
  <c r="X23" i="19"/>
  <c r="R33" i="19"/>
  <c r="R43" i="19"/>
  <c r="AD53" i="19"/>
  <c r="AJ13" i="19"/>
  <c r="R23" i="19"/>
  <c r="R13" i="19"/>
  <c r="AJ53" i="19"/>
  <c r="L33" i="19"/>
  <c r="L23" i="19"/>
  <c r="X43" i="19"/>
  <c r="X53" i="19"/>
  <c r="AD13" i="19"/>
  <c r="L53" i="19"/>
  <c r="L13" i="19"/>
  <c r="AD23" i="19"/>
  <c r="AJ33" i="19"/>
  <c r="AJ23" i="19"/>
  <c r="R53" i="19"/>
  <c r="M55" i="19"/>
  <c r="AK15" i="19"/>
  <c r="AE25" i="19"/>
  <c r="AC6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3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0" i="1"/>
  <c r="AG11" i="19"/>
  <c r="AM41" i="19"/>
  <c r="AA21" i="19"/>
  <c r="AA51" i="19"/>
  <c r="U51" i="19"/>
  <c r="U31" i="19"/>
  <c r="AA11" i="19"/>
  <c r="AG21" i="19"/>
  <c r="O31" i="19"/>
  <c r="AA56" i="1"/>
  <c r="AB57" i="1"/>
  <c r="AA26" i="1"/>
  <c r="AB27" i="1"/>
  <c r="AA27" i="1" s="1"/>
  <c r="AB28" i="1"/>
  <c r="AA28"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2" i="1"/>
  <c r="AB33" i="1"/>
  <c r="AE11" i="19"/>
  <c r="Y41" i="19"/>
  <c r="M41" i="19"/>
  <c r="Y21" i="19"/>
  <c r="AK41" i="19"/>
  <c r="S31" i="19"/>
  <c r="M31" i="19"/>
  <c r="M51" i="19"/>
  <c r="Y51" i="19"/>
  <c r="AK21" i="19"/>
  <c r="AK31" i="19"/>
  <c r="Y11" i="19"/>
  <c r="AE41" i="19"/>
  <c r="AE21" i="19"/>
  <c r="S51" i="19"/>
  <c r="AE51" i="19"/>
  <c r="AK51" i="19"/>
  <c r="M21" i="19"/>
  <c r="AE31" i="19"/>
  <c r="AC38" i="1"/>
  <c r="S41" i="19"/>
  <c r="AK11" i="19"/>
  <c r="S11" i="19"/>
  <c r="Y31" i="19"/>
  <c r="S21" i="19"/>
  <c r="M11" i="19"/>
  <c r="L54" i="19"/>
  <c r="AJ14" i="19"/>
  <c r="AD44" i="19"/>
  <c r="X54" i="19"/>
  <c r="R14" i="19"/>
  <c r="AD24" i="19"/>
  <c r="AD34" i="19"/>
  <c r="R54" i="19"/>
  <c r="L34" i="19"/>
  <c r="AJ34" i="19"/>
  <c r="X24" i="19"/>
  <c r="AJ24" i="19"/>
  <c r="X44" i="19"/>
  <c r="R24" i="19"/>
  <c r="AC55" i="1"/>
  <c r="X34" i="19"/>
  <c r="L14" i="19"/>
  <c r="AD14" i="19"/>
  <c r="L44" i="19"/>
  <c r="R44" i="19"/>
  <c r="AD54" i="19"/>
  <c r="X14" i="19"/>
  <c r="AJ44" i="19"/>
  <c r="R34" i="19"/>
  <c r="AJ54" i="19"/>
  <c r="L24" i="19"/>
  <c r="AD29" i="19"/>
  <c r="AD19" i="19"/>
  <c r="R39" i="19"/>
  <c r="R9" i="19"/>
  <c r="X49" i="19"/>
  <c r="X9" i="19"/>
  <c r="AD39" i="19"/>
  <c r="R29" i="19"/>
  <c r="L49" i="19"/>
  <c r="X19" i="19"/>
  <c r="X29" i="19"/>
  <c r="X39" i="19"/>
  <c r="L9" i="19"/>
  <c r="AC25" i="1"/>
  <c r="AD9" i="19"/>
  <c r="AJ49" i="19"/>
  <c r="L39" i="19"/>
  <c r="R19" i="19"/>
  <c r="AJ39" i="19"/>
  <c r="AJ29" i="19"/>
  <c r="AJ19" i="19"/>
  <c r="AJ9" i="19"/>
  <c r="AD49" i="19"/>
  <c r="L19" i="19"/>
  <c r="L29" i="19"/>
  <c r="R49" i="19"/>
  <c r="AA33" i="1" l="1"/>
  <c r="AB34" i="1"/>
  <c r="AA34" i="1" s="1"/>
  <c r="AG39" i="19"/>
  <c r="AG29" i="19"/>
  <c r="AM19" i="19"/>
  <c r="O39" i="19"/>
  <c r="AC28"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56"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C64" i="1"/>
  <c r="AG15" i="19"/>
  <c r="U15" i="19"/>
  <c r="AG55" i="19"/>
  <c r="U55" i="19"/>
  <c r="AE40" i="19"/>
  <c r="Y30" i="19"/>
  <c r="M20" i="19"/>
  <c r="AC3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7"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26" i="1"/>
  <c r="M9" i="19"/>
  <c r="Y29" i="19"/>
  <c r="AA51" i="1"/>
  <c r="AB52" i="1"/>
  <c r="AA52"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7" i="1"/>
  <c r="AB58" i="1"/>
  <c r="AA58" i="1" s="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8" i="1"/>
  <c r="AA14" i="19"/>
  <c r="O54" i="19"/>
  <c r="U44" i="19"/>
  <c r="U43" i="19"/>
  <c r="U13" i="19"/>
  <c r="AM53" i="19"/>
  <c r="AA53" i="19"/>
  <c r="AA43" i="19"/>
  <c r="O53" i="19"/>
  <c r="O23" i="19"/>
  <c r="O13" i="19"/>
  <c r="AG43" i="19"/>
  <c r="U33" i="19"/>
  <c r="U23" i="19"/>
  <c r="AM13" i="19"/>
  <c r="AM23" i="19"/>
  <c r="AG13" i="19"/>
  <c r="AA23" i="19"/>
  <c r="AG33" i="19"/>
  <c r="AA33" i="19"/>
  <c r="AM33" i="19"/>
  <c r="AA13" i="19"/>
  <c r="AC5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7" i="1"/>
  <c r="AF53" i="19"/>
  <c r="T43" i="19"/>
  <c r="Z53" i="19"/>
  <c r="N43" i="19"/>
  <c r="T23" i="19"/>
  <c r="AF43" i="19"/>
  <c r="Z13" i="19"/>
  <c r="Z43" i="19"/>
  <c r="AF23" i="19"/>
  <c r="AL13" i="19"/>
  <c r="Z23" i="19"/>
  <c r="AL43" i="19"/>
  <c r="AF13" i="19"/>
  <c r="AL23" i="19"/>
  <c r="N13" i="19"/>
  <c r="T33" i="19"/>
  <c r="AL53" i="19"/>
  <c r="N23" i="19"/>
  <c r="N53" i="19"/>
  <c r="AF33" i="19"/>
  <c r="N33" i="19"/>
  <c r="AC51"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3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AD22" i="18"/>
  <c r="X14" i="18"/>
  <c r="L30" i="18"/>
  <c r="R38" i="18"/>
  <c r="AJ14" i="18"/>
  <c r="R14" i="18"/>
  <c r="AD6" i="18"/>
  <c r="AD30" i="18"/>
  <c r="AJ38" i="18"/>
  <c r="AJ22" i="18"/>
  <c r="X30" i="18"/>
  <c r="L14" i="18"/>
  <c r="L22" i="18"/>
  <c r="AJ6" i="18"/>
  <c r="L38" i="18"/>
  <c r="AD14" i="18"/>
  <c r="R6" i="18"/>
  <c r="T14" i="18"/>
  <c r="AL38" i="18"/>
  <c r="N14" i="18"/>
  <c r="Z6" i="18"/>
  <c r="T38" i="18"/>
  <c r="T22" i="18"/>
  <c r="AL14" i="18"/>
  <c r="N22" i="18"/>
  <c r="N21" i="1"/>
  <c r="AF22" i="18"/>
  <c r="N6" i="18"/>
  <c r="AF6" i="18"/>
  <c r="AF38" i="18"/>
  <c r="M21" i="1"/>
  <c r="AB21" i="1" s="1"/>
  <c r="AA21" i="1" s="1"/>
  <c r="N38" i="18"/>
  <c r="AL30" i="18"/>
  <c r="AL22" i="18"/>
  <c r="T6" i="18"/>
  <c r="AF14" i="18"/>
  <c r="AF30" i="18"/>
  <c r="Z22" i="18"/>
  <c r="T30" i="18"/>
  <c r="Z30" i="18"/>
  <c r="AL6" i="18"/>
  <c r="Z14" i="18"/>
  <c r="Z38" i="18"/>
  <c r="N30" i="18"/>
  <c r="J40" i="18"/>
  <c r="AB40" i="18"/>
  <c r="AH32" i="18"/>
  <c r="AB24" i="18"/>
  <c r="V16" i="18"/>
  <c r="M23" i="1"/>
  <c r="AB23" i="1" s="1"/>
  <c r="AA23" i="1" s="1"/>
  <c r="J16" i="18"/>
  <c r="P32" i="18"/>
  <c r="V24" i="18"/>
  <c r="P24" i="18"/>
  <c r="V40" i="18"/>
  <c r="P16" i="18"/>
  <c r="P40" i="18"/>
  <c r="V32" i="18"/>
  <c r="AH16" i="18"/>
  <c r="AB16" i="18"/>
  <c r="V8" i="18"/>
  <c r="AH24" i="18"/>
  <c r="AH8" i="18"/>
  <c r="AH40" i="18"/>
  <c r="J8" i="18"/>
  <c r="AB32" i="18"/>
  <c r="AB8" i="18"/>
  <c r="J24" i="18"/>
  <c r="J32" i="18"/>
  <c r="P8" i="18"/>
  <c r="N23" i="1"/>
  <c r="P14" i="18"/>
  <c r="V22" i="18"/>
  <c r="V14" i="18"/>
  <c r="P22" i="18"/>
  <c r="V38" i="18"/>
  <c r="AH14" i="18"/>
  <c r="AH38" i="18"/>
  <c r="J14" i="18"/>
  <c r="AB22" i="18"/>
  <c r="V30" i="18"/>
  <c r="AB14" i="18"/>
  <c r="AB38" i="18"/>
  <c r="J30" i="18"/>
  <c r="P38" i="18"/>
  <c r="AB6" i="18"/>
  <c r="AH30" i="18"/>
  <c r="J38" i="18"/>
  <c r="AH6" i="18"/>
  <c r="V6" i="18"/>
  <c r="AB30" i="18"/>
  <c r="J22" i="18"/>
  <c r="J6" i="18"/>
  <c r="P30" i="18"/>
  <c r="AH22" i="18"/>
  <c r="P6" i="18"/>
  <c r="AC23" i="1" l="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AH8" i="19"/>
  <c r="AB28" i="19"/>
  <c r="AB48" i="19"/>
  <c r="V38" i="19"/>
  <c r="V8" i="19"/>
  <c r="AH28" i="19"/>
  <c r="AH48" i="19"/>
  <c r="AB38" i="19"/>
  <c r="AH18" i="19"/>
  <c r="V48" i="19"/>
  <c r="V18" i="19"/>
  <c r="P8" i="19"/>
  <c r="J38" i="19"/>
  <c r="AC21" i="1"/>
  <c r="P18" i="19"/>
  <c r="P38" i="19"/>
  <c r="J28" i="19"/>
  <c r="AH38" i="19"/>
  <c r="J48" i="19"/>
  <c r="P48" i="19"/>
  <c r="V28" i="19"/>
  <c r="AB18" i="19"/>
  <c r="AB8" i="19"/>
  <c r="J8" i="19"/>
  <c r="P28" i="19"/>
  <c r="J18" i="19"/>
  <c r="P16" i="19"/>
  <c r="P6" i="19"/>
  <c r="AH6" i="19"/>
  <c r="V46" i="19"/>
  <c r="AH46" i="19"/>
  <c r="AB46" i="19"/>
  <c r="J6" i="19"/>
  <c r="P46" i="19"/>
  <c r="AB26" i="19"/>
  <c r="AB16" i="19"/>
  <c r="AH26" i="19"/>
  <c r="J16" i="19"/>
  <c r="V26" i="19"/>
  <c r="AH36" i="19"/>
  <c r="P26" i="19"/>
  <c r="V16" i="19"/>
  <c r="V36" i="19"/>
  <c r="AH16" i="19"/>
  <c r="V6" i="19"/>
  <c r="AB36" i="19"/>
  <c r="AB6" i="19"/>
  <c r="P36" i="19"/>
  <c r="J36" i="19"/>
  <c r="J26" i="19"/>
  <c r="J46" i="19"/>
  <c r="B223" i="13"/>
  <c r="B222" i="13"/>
  <c r="K35" i="1" l="1"/>
  <c r="L35" i="1" s="1"/>
  <c r="K41" i="1"/>
  <c r="L41" i="1" s="1"/>
  <c r="K23" i="1"/>
  <c r="K29" i="1"/>
  <c r="L29" i="1" s="1"/>
  <c r="K53" i="1"/>
  <c r="L53" i="1" s="1"/>
  <c r="K21" i="1"/>
  <c r="K59" i="1"/>
  <c r="L59" i="1" s="1"/>
  <c r="K47" i="1"/>
  <c r="L47" i="1" s="1"/>
  <c r="AD34" i="18" l="1"/>
  <c r="L42" i="18"/>
  <c r="X10" i="18"/>
  <c r="AJ34" i="18"/>
  <c r="AJ26" i="18"/>
  <c r="AJ42" i="18"/>
  <c r="AJ18" i="18"/>
  <c r="L10" i="18"/>
  <c r="AD42" i="18"/>
  <c r="L34" i="18"/>
  <c r="AD10" i="18"/>
  <c r="L26" i="18"/>
  <c r="R18" i="18"/>
  <c r="R26" i="18"/>
  <c r="AD18" i="18"/>
  <c r="R10" i="18"/>
  <c r="N47" i="1"/>
  <c r="X42" i="18"/>
  <c r="X34" i="18"/>
  <c r="L18" i="18"/>
  <c r="X26" i="18"/>
  <c r="AD26" i="18"/>
  <c r="X18" i="18"/>
  <c r="AJ10" i="18"/>
  <c r="M47" i="1"/>
  <c r="R34" i="18"/>
  <c r="R42" i="18"/>
  <c r="R32" i="18"/>
  <c r="AJ32" i="18"/>
  <c r="L32" i="18"/>
  <c r="M29" i="1"/>
  <c r="L24" i="18"/>
  <c r="R16" i="18"/>
  <c r="L8" i="18"/>
  <c r="AD24" i="18"/>
  <c r="N29" i="1"/>
  <c r="AJ8" i="18"/>
  <c r="AJ40" i="18"/>
  <c r="AD16" i="18"/>
  <c r="L16" i="18"/>
  <c r="AJ16" i="18"/>
  <c r="AD8" i="18"/>
  <c r="X8" i="18"/>
  <c r="R40" i="18"/>
  <c r="AJ24" i="18"/>
  <c r="AD40" i="18"/>
  <c r="X16" i="18"/>
  <c r="R24" i="18"/>
  <c r="R8" i="18"/>
  <c r="X40" i="18"/>
  <c r="X24" i="18"/>
  <c r="L40" i="18"/>
  <c r="X32" i="18"/>
  <c r="AD32" i="18"/>
  <c r="AH12" i="18"/>
  <c r="P28" i="18"/>
  <c r="P44" i="18"/>
  <c r="P36" i="18"/>
  <c r="AH36" i="18"/>
  <c r="AB20" i="18"/>
  <c r="V20" i="18"/>
  <c r="J44" i="18"/>
  <c r="P12" i="18"/>
  <c r="P20" i="18"/>
  <c r="V44" i="18"/>
  <c r="V28" i="18"/>
  <c r="J12" i="18"/>
  <c r="AB28" i="18"/>
  <c r="AH20" i="18"/>
  <c r="J36" i="18"/>
  <c r="J28" i="18"/>
  <c r="AH44" i="18"/>
  <c r="V36" i="18"/>
  <c r="J20" i="18"/>
  <c r="N59" i="1"/>
  <c r="AB12" i="18"/>
  <c r="AB44" i="18"/>
  <c r="V12" i="18"/>
  <c r="AB36" i="18"/>
  <c r="M59" i="1"/>
  <c r="AB59" i="1" s="1"/>
  <c r="AA59" i="1" s="1"/>
  <c r="AH28" i="18"/>
  <c r="M41" i="1"/>
  <c r="AB42" i="18"/>
  <c r="P42" i="18"/>
  <c r="AH26" i="18"/>
  <c r="AH18" i="18"/>
  <c r="J18" i="18"/>
  <c r="AH10" i="18"/>
  <c r="V34" i="18"/>
  <c r="V10" i="18"/>
  <c r="J26" i="18"/>
  <c r="J42" i="18"/>
  <c r="AH34" i="18"/>
  <c r="V42" i="18"/>
  <c r="V26" i="18"/>
  <c r="J34" i="18"/>
  <c r="N41" i="1"/>
  <c r="P18" i="18"/>
  <c r="AB18" i="18"/>
  <c r="AB26" i="18"/>
  <c r="AB10" i="18"/>
  <c r="P34" i="18"/>
  <c r="P10" i="18"/>
  <c r="AH42" i="18"/>
  <c r="AB34" i="18"/>
  <c r="J10" i="18"/>
  <c r="P26" i="18"/>
  <c r="V18" i="18"/>
  <c r="Z42" i="18"/>
  <c r="N42" i="18"/>
  <c r="AF26" i="18"/>
  <c r="AF10" i="18"/>
  <c r="N10" i="18"/>
  <c r="M53" i="1"/>
  <c r="AL42" i="18"/>
  <c r="AF34" i="18"/>
  <c r="AL10" i="18"/>
  <c r="N18" i="18"/>
  <c r="N26" i="18"/>
  <c r="Z26" i="18"/>
  <c r="T10" i="18"/>
  <c r="T42" i="18"/>
  <c r="AF42" i="18"/>
  <c r="AL26" i="18"/>
  <c r="T26" i="18"/>
  <c r="AL18" i="18"/>
  <c r="AL34" i="18"/>
  <c r="N53" i="1"/>
  <c r="T18" i="18"/>
  <c r="Z18" i="18"/>
  <c r="Z10" i="18"/>
  <c r="T34" i="18"/>
  <c r="AF18" i="18"/>
  <c r="Z34" i="18"/>
  <c r="N34" i="18"/>
  <c r="AF32" i="18"/>
  <c r="AL8" i="18"/>
  <c r="T24" i="18"/>
  <c r="N16" i="18"/>
  <c r="N24" i="18"/>
  <c r="AF16" i="18"/>
  <c r="AL16" i="18"/>
  <c r="M35" i="1"/>
  <c r="T8" i="18"/>
  <c r="Z32" i="18"/>
  <c r="AL40" i="18"/>
  <c r="T16" i="18"/>
  <c r="AF24" i="18"/>
  <c r="Z40" i="18"/>
  <c r="T40" i="18"/>
  <c r="AF8" i="18"/>
  <c r="AL24" i="18"/>
  <c r="Z8" i="18"/>
  <c r="T32" i="18"/>
  <c r="AL32" i="18"/>
  <c r="N35" i="1"/>
  <c r="N40" i="18"/>
  <c r="Z16" i="18"/>
  <c r="Z24" i="18"/>
  <c r="N32" i="18"/>
  <c r="AF40" i="18"/>
  <c r="N8" i="18"/>
  <c r="AB45" i="19" l="1"/>
  <c r="P25" i="19"/>
  <c r="V25" i="19"/>
  <c r="AH25" i="19"/>
  <c r="P45" i="19"/>
  <c r="J25" i="19"/>
  <c r="J55" i="19"/>
  <c r="AH35" i="19"/>
  <c r="P35" i="19"/>
  <c r="AH15" i="19"/>
  <c r="V45" i="19"/>
  <c r="AH55" i="19"/>
  <c r="V15" i="19"/>
  <c r="AB35" i="19"/>
  <c r="AB55" i="19"/>
  <c r="P55" i="19"/>
  <c r="V55" i="19"/>
  <c r="J15" i="19"/>
  <c r="J35" i="19"/>
  <c r="AC59" i="1"/>
  <c r="AH45" i="19"/>
  <c r="V35" i="19"/>
  <c r="AB15" i="19"/>
  <c r="J45" i="19"/>
  <c r="P15" i="19"/>
  <c r="AB2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<sst xmlns="http://schemas.openxmlformats.org/spreadsheetml/2006/main" count="388" uniqueCount="242">
  <si>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</si>
  <si>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</si>
  <si>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</si>
  <si>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</si>
  <si>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</si>
  <si>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</si>
  <si>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</si>
  <si>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</si>
  <si>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</si>
  <si>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</si>
  <si>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</si>
  <si>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</si>
  <si>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</si>
  <si>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</si>
  <si>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</si>
  <si>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</si>
  <si>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</si>
  <si>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</si>
  <si>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</si>
  <si>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</si>
  <si>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</si>
  <si>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</si>
  <si>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</si>
  <si>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</si>
  <si>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</si>
  <si>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</si>
  <si>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</si>
  <si>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</si>
  <si>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</si>
  <si>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</si>
  <si>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</si>
  <si>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</si>
  <si>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</si>
  <si>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</si>
  <si>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</si>
  <si>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</si>
  <si>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</si>
  <si>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</si>
  <si>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</si>
  <si>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</si>
  <si>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</si>
  <si>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</si>
  <si>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</si>
  <si>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</si>
  <si>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</si>
  <si>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</si>
  <si>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</si>
  <si>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</si>
  <si>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</si>
  <si>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</si>
  <si>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</si>
  <si>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</si>
  <si>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</si>
  <si>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</si>
  <si>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</si>
  <si>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</si>
  <si>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</si>
  <si>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</si>
  <si>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</si>
  <si>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</si>
  <si>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</si>
  <si>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</si>
  <si>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</si>
  <si>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</si>
  <si>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</si>
  <si>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</si>
  <si>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</si>
  <si>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</si>
  <si>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</si>
  <si>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</si>
  <si>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</si>
  <si>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</si>
  <si>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</si>
  <si>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</si>
  <si>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</si>
  <si>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</si>
  <si>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</si>
  <si>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</si>
  <si>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</si>
  <si>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</si>
  <si>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</si>
  <si>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</si>
  <si>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</si>
  <si>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</si>
  <si>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</si>
  <si>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</si>
  <si>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</si>
  <si>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</si>
  <si>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</si>
  <si>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</si>
  <si>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</si>
  <si>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</si>
  <si>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</si>
  <si>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</si>
  <si>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</si>
  <si>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</si>
  <si>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</si>
  <si>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</si>
  <si>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</si>
  <si>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</si>
  <si>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</si>
  <si>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</si>
  <si>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</si>
  <si>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</si>
  <si>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</si>
  <si>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</si>
  <si>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</si>
  <si>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</si>
  <si>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</si>
  <si>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</si>
  <si>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</si>
  <si>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</si>
  <si>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</si>
  <si>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</si>
  <si>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</si>
  <si>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</si>
  <si>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</si>
  <si>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</si>
  <si>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</si>
  <si>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</si>
  <si>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</si>
  <si>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</si>
  <si>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</si>
  <si>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</si>
  <si>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</si>
  <si>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</si>
  <si>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</si>
  <si>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</si>
  <si>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</si>
  <si>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</si>
  <si>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</si>
  <si>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</si>
  <si>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</si>
  <si>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</si>
  <si>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</si>
  <si>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</si>
  <si>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</si>
  <si>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</si>
  <si>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</si>
  <si>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</si>
  <si>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</si>
  <si>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</si>
  <si>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</si>
  <si>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</si>
  <si>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</si>
  <si>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</si>
  <si>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</si>
  <si>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</si>
  <si>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</si>
  <si>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</si>
  <si>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</si>
  <si>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</si>
  <si>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</si>
  <si>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</si>
  <si>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</si>
  <si>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</si>
  <si>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</si>
  <si>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</si>
  <si>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</si>
  <si>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</si>
  <si>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</si>
  <si>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</si>
  <si>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</si>
  <si>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</si>
  <si>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</si>
  <si>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</si>
  <si>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</si>
  <si>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</si>
  <si>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</si>
  <si>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</si>
  <si>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</si>
  <si>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</si>
  <si>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</si>
  <si>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</si>
  <si>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</si>
  <si>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</si>
  <si>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</si>
  <si>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</si>
  <si>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</si>
  <si>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</si>
  <si>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</si>
  <si>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</si>
  <si>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</si>
  <si>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</si>
  <si>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</si>
  <si>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</si>
  <si>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</si>
  <si>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</si>
  <si>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</si>
  <si>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</si>
  <si>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</si>
  <si>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</si>
  <si>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</si>
  <si>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</si>
  <si>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</si>
  <si>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</si>
  <si>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</si>
  <si>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</si>
  <si>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</si>
  <si>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</si>
  <si>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</si>
  <si>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</si>
  <si>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</si>
  <si>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</si>
  <si>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</si>
  <si>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</si>
  <si>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</si>
  <si>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</si>
  <si>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</si>
  <si>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</si>
  <si>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</si>
  <si>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</si>
  <si>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</si>
  <si>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</si>
  <si>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Inicia con la planeación de las actividades y culmina con el seguimiento y evaluación del proceso</t>
  </si>
  <si>
    <t>MODERADO</t>
  </si>
  <si>
    <t>VIGENCIA</t>
  </si>
  <si>
    <t>GESTION HUMANA</t>
  </si>
  <si>
    <t xml:space="preserve">Dirigir y estimular la participación del Capital Humano a su cargo, contribuyendo al incremento en la satisfacción y la productividad en el desempeño laboral, como factores acordes al nivel de exigencia en la ejecución de los procesos y el cumplimiento de los objetivos definidos por la EDAT S.A. E.S.P. OFICIAL, verificando el cumplimiento de los planes, programas y proyectos relacionados con la seguridad y salud en el trabajo, contribuyendo a la prevención y disminución de los accidentes y enfermedades de origen laboral, así como al logro de la misión y los objetivos de la Entidad. </t>
  </si>
  <si>
    <t>Consentracion de funciones en la secretaria general y juridica y asi mismo sobrecarga laboral en algunos funcionarios y contratista                          DESCRIPCION                                         'la secretaria general y juridica, tiene a su cargo un gran numero de funciones, lo que con lleva a general sobrecargo de funciones en algunos de los contratistas de la empresa</t>
  </si>
  <si>
    <t xml:space="preserve">sobrecarga laboral y concentracion de responsabilidades </t>
  </si>
  <si>
    <t>ALTA</t>
  </si>
  <si>
    <t>MAYOR</t>
  </si>
  <si>
    <t>ALTO</t>
  </si>
  <si>
    <t xml:space="preserve">descentralizar las obligaciones de la secretaria </t>
  </si>
  <si>
    <t>PROBALIDAD</t>
  </si>
  <si>
    <t>LEVE</t>
  </si>
  <si>
    <t>Secretraria General y Juridica</t>
  </si>
  <si>
    <t>junio a diciembre de 2022</t>
  </si>
  <si>
    <t xml:space="preserve">Desactualizacion de la estructura organica de la planta de personal y el manual de funciones.                                DESCRIPCION                                         se trabaja con el manual de funciones que se actualizo en el 2015 </t>
  </si>
  <si>
    <t>BAJA</t>
  </si>
  <si>
    <t>MENOR</t>
  </si>
  <si>
    <t>Actualización de la estructura organizacional de la Entidad y el Manual de Funciones</t>
  </si>
  <si>
    <t>BAJO</t>
  </si>
  <si>
    <t>Falta de implementación de los elementos de protección, para el personal que lo requiere. (EPP)                   DESCRIPCION                                       'No aportar los elementos de protección personal (EPP) puede generar altos riesgos de accidentalidad y enfermedad laboral.</t>
  </si>
  <si>
    <t>falta de clasificacion de riesgo y no existencia de la matriz IPVER</t>
  </si>
  <si>
    <t xml:space="preserve">Realizar matriz de EPP, formato de inspección EPP </t>
  </si>
  <si>
    <t>Falta de implementación de plan estratégico de seguridad vial                DESCRIPCION                                          la empresa no ha realizado el plan estrategico de seguridad vial (PESV)</t>
  </si>
  <si>
    <t xml:space="preserve">implemetar el plan estrategico de seguridad vial (PESV) </t>
  </si>
  <si>
    <t>IMPACTO</t>
  </si>
  <si>
    <t>ninguno</t>
  </si>
  <si>
    <t>elementos basicos de protección personal a los cuales les falta mas seguridad como e casco con barbuquejo.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</si>
</sst>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color theme="1"/>
      <name val="Arial"/>
      <family val="2"/>
    </font>
    <font>
      <sz val="1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2" tint="-0.49998474074526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14" fontId="1" fillId="0" borderId="2" xfId="0" applyNumberFormat="1" applyFont="1" applyBorder="1" applyAlignment="1" applyProtection="1">
      <alignment horizontal="center" vertical="top" wrapText="1"/>
      <protection locked="0"/>
    </xf>
    <xf numFmtId="0" fontId="60" fillId="3" borderId="33" xfId="0" quotePrefix="1" applyFont="1" applyFill="1" applyBorder="1" applyAlignment="1">
      <alignment horizontal="center" vertical="center" wrapText="1"/>
    </xf>
    <xf numFmtId="0" fontId="48" fillId="0" borderId="47" xfId="0" applyFont="1" applyBorder="1" applyAlignment="1">
      <alignment vertical="center"/>
    </xf>
    <xf numFmtId="0" fontId="60" fillId="3" borderId="34" xfId="0" quotePrefix="1" applyFont="1" applyFill="1" applyBorder="1" applyAlignment="1">
      <alignment horizontal="center" vertical="center" wrapText="1"/>
    </xf>
    <xf numFmtId="0" fontId="60" fillId="3" borderId="33" xfId="0" applyFont="1" applyFill="1" applyBorder="1" applyAlignment="1">
      <alignment horizontal="center"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9" fillId="3" borderId="29" xfId="0" quotePrefix="1" applyFont="1" applyFill="1" applyBorder="1" applyAlignment="1">
      <alignment horizontal="center" vertical="center" wrapText="1"/>
    </xf>
    <xf numFmtId="0" fontId="59" fillId="3" borderId="0" xfId="0" quotePrefix="1" applyFont="1" applyFill="1" applyBorder="1" applyAlignment="1">
      <alignment horizontal="center" vertical="center" wrapText="1"/>
    </xf>
    <xf numFmtId="0" fontId="59" fillId="3" borderId="31" xfId="0" quotePrefix="1" applyFont="1" applyFill="1" applyBorder="1" applyAlignment="1">
      <alignment horizontal="center"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quotePrefix="1" applyFont="1" applyBorder="1" applyAlignment="1" applyProtection="1">
      <alignment horizontal="center" vertical="top" wrapText="1"/>
      <protection locked="0"/>
    </xf>
    <xf numFmtId="0" fontId="2" fillId="0" borderId="4" xfId="0" quotePrefix="1"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1" fillId="3" borderId="0" xfId="0" applyFont="1" applyFill="1" applyBorder="1" applyAlignment="1">
      <alignment horizontal="left"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35" xfId="0" applyFont="1" applyBorder="1" applyAlignment="1">
      <alignment horizontal="left" vertical="center" wrapText="1"/>
    </xf>
    <xf numFmtId="0" fontId="48" fillId="0" borderId="36" xfId="0" applyFont="1" applyBorder="1" applyAlignment="1">
      <alignment horizontal="left" vertical="center" wrapText="1"/>
    </xf>
    <xf numFmtId="0" fontId="48" fillId="0" borderId="47" xfId="0" applyFont="1" applyBorder="1" applyAlignment="1">
      <alignment horizontal="left" vertical="center" wrapText="1"/>
    </xf>
    <xf numFmtId="0" fontId="60" fillId="3" borderId="29" xfId="0" quotePrefix="1" applyFont="1" applyFill="1" applyBorder="1" applyAlignment="1">
      <alignment horizontal="center" vertical="center" wrapText="1"/>
    </xf>
    <xf numFmtId="0" fontId="60" fillId="3" borderId="0" xfId="0" quotePrefix="1" applyFont="1" applyFill="1" applyBorder="1" applyAlignment="1">
      <alignment horizontal="center" vertical="center" wrapText="1"/>
    </xf>
    <xf numFmtId="0" fontId="60" fillId="3" borderId="31" xfId="0" quotePrefix="1" applyFont="1" applyFill="1" applyBorder="1" applyAlignment="1">
      <alignment horizontal="center"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34">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420006</xdr:colOff>
      <xdr:row>2</xdr:row>
      <xdr:rowOff>173870</xdr:rowOff>
    </xdr:from>
    <xdr:to>
      <xdr:col>22</xdr:col>
      <xdr:colOff>228903</xdr:colOff>
      <xdr:row>5</xdr:row>
      <xdr:rowOff>97973</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1423" y="692453"/>
          <a:ext cx="1893813" cy="124702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46" t="s">
        <v>166</v>
      </c>
      <c r="C2" s="147"/>
      <c r="D2" s="147"/>
      <c r="E2" s="147"/>
      <c r="F2" s="147"/>
      <c r="G2" s="147"/>
      <c r="H2" s="148"/>
    </row>
    <row r="3" spans="2:8" x14ac:dyDescent="0.4">
      <c r="B3" s="85"/>
      <c r="C3" s="86"/>
      <c r="D3" s="86"/>
      <c r="E3" s="86"/>
      <c r="F3" s="86"/>
      <c r="G3" s="86"/>
      <c r="H3" s="87"/>
    </row>
    <row r="4" spans="2:8" ht="63" customHeight="1" x14ac:dyDescent="0.4">
      <c r="B4" s="149" t="s">
        <v>209</v>
      </c>
      <c r="C4" s="150"/>
      <c r="D4" s="150"/>
      <c r="E4" s="150"/>
      <c r="F4" s="150"/>
      <c r="G4" s="150"/>
      <c r="H4" s="151"/>
    </row>
    <row r="5" spans="2:8" ht="63" customHeight="1" x14ac:dyDescent="0.4">
      <c r="B5" s="152"/>
      <c r="C5" s="153"/>
      <c r="D5" s="153"/>
      <c r="E5" s="153"/>
      <c r="F5" s="153"/>
      <c r="G5" s="153"/>
      <c r="H5" s="154"/>
    </row>
    <row r="6" spans="2:8" x14ac:dyDescent="0.4">
      <c r="B6" s="155" t="s">
        <v>164</v>
      </c>
      <c r="C6" s="156"/>
      <c r="D6" s="156"/>
      <c r="E6" s="156"/>
      <c r="F6" s="156"/>
      <c r="G6" s="156"/>
      <c r="H6" s="157"/>
    </row>
    <row r="7" spans="2:8" ht="95.25" customHeight="1" x14ac:dyDescent="0.4">
      <c r="B7" s="165" t="s">
        <v>169</v>
      </c>
      <c r="C7" s="166"/>
      <c r="D7" s="166"/>
      <c r="E7" s="166"/>
      <c r="F7" s="166"/>
      <c r="G7" s="166"/>
      <c r="H7" s="167"/>
    </row>
    <row r="8" spans="2:8" x14ac:dyDescent="0.4">
      <c r="B8" s="122"/>
      <c r="C8" s="123"/>
      <c r="D8" s="123"/>
      <c r="E8" s="123"/>
      <c r="F8" s="123"/>
      <c r="G8" s="123"/>
      <c r="H8" s="124"/>
    </row>
    <row r="9" spans="2:8" ht="16.5" customHeight="1" x14ac:dyDescent="0.4">
      <c r="B9" s="158" t="s">
        <v>202</v>
      </c>
      <c r="C9" s="159"/>
      <c r="D9" s="159"/>
      <c r="E9" s="159"/>
      <c r="F9" s="159"/>
      <c r="G9" s="159"/>
      <c r="H9" s="160"/>
    </row>
    <row r="10" spans="2:8" ht="44.25" customHeight="1" x14ac:dyDescent="0.4">
      <c r="B10" s="158"/>
      <c r="C10" s="159"/>
      <c r="D10" s="159"/>
      <c r="E10" s="159"/>
      <c r="F10" s="159"/>
      <c r="G10" s="159"/>
      <c r="H10" s="160"/>
    </row>
    <row r="11" spans="2:8" ht="15" thickBot="1" x14ac:dyDescent="0.45">
      <c r="B11" s="110"/>
      <c r="C11" s="113"/>
      <c r="D11" s="118"/>
      <c r="E11" s="119"/>
      <c r="F11" s="119"/>
      <c r="G11" s="120"/>
      <c r="H11" s="121"/>
    </row>
    <row r="12" spans="2:8" ht="15" thickTop="1" x14ac:dyDescent="0.4">
      <c r="B12" s="110"/>
      <c r="C12" s="161" t="s">
        <v>165</v>
      </c>
      <c r="D12" s="162"/>
      <c r="E12" s="163" t="s">
        <v>203</v>
      </c>
      <c r="F12" s="164"/>
      <c r="G12" s="113"/>
      <c r="H12" s="114"/>
    </row>
    <row r="13" spans="2:8" ht="35.25" customHeight="1" x14ac:dyDescent="0.4">
      <c r="B13" s="110"/>
      <c r="C13" s="168" t="s">
        <v>196</v>
      </c>
      <c r="D13" s="169"/>
      <c r="E13" s="170" t="s">
        <v>201</v>
      </c>
      <c r="F13" s="171"/>
      <c r="G13" s="113"/>
      <c r="H13" s="114"/>
    </row>
    <row r="14" spans="2:8" ht="17.25" customHeight="1" x14ac:dyDescent="0.4">
      <c r="B14" s="110"/>
      <c r="C14" s="168" t="s">
        <v>197</v>
      </c>
      <c r="D14" s="169"/>
      <c r="E14" s="170" t="s">
        <v>199</v>
      </c>
      <c r="F14" s="171"/>
      <c r="G14" s="113"/>
      <c r="H14" s="114"/>
    </row>
    <row r="15" spans="2:8" ht="19.5" customHeight="1" x14ac:dyDescent="0.4">
      <c r="B15" s="110"/>
      <c r="C15" s="168" t="s">
        <v>198</v>
      </c>
      <c r="D15" s="169"/>
      <c r="E15" s="170" t="s">
        <v>200</v>
      </c>
      <c r="F15" s="171"/>
      <c r="G15" s="113"/>
      <c r="H15" s="114"/>
    </row>
    <row r="16" spans="2:8" ht="69.75" customHeight="1" x14ac:dyDescent="0.4">
      <c r="B16" s="110"/>
      <c r="C16" s="168" t="s">
        <v>167</v>
      </c>
      <c r="D16" s="169"/>
      <c r="E16" s="170" t="s">
        <v>168</v>
      </c>
      <c r="F16" s="171"/>
      <c r="G16" s="113"/>
      <c r="H16" s="114"/>
    </row>
    <row r="17" spans="2:8" ht="34.5" customHeight="1" x14ac:dyDescent="0.4">
      <c r="B17" s="110"/>
      <c r="C17" s="172" t="s">
        <v>2</v>
      </c>
      <c r="D17" s="173"/>
      <c r="E17" s="174" t="s">
        <v>210</v>
      </c>
      <c r="F17" s="175"/>
      <c r="G17" s="113"/>
      <c r="H17" s="114"/>
    </row>
    <row r="18" spans="2:8" ht="27.75" customHeight="1" x14ac:dyDescent="0.4">
      <c r="B18" s="110"/>
      <c r="C18" s="172" t="s">
        <v>3</v>
      </c>
      <c r="D18" s="173"/>
      <c r="E18" s="174" t="s">
        <v>211</v>
      </c>
      <c r="F18" s="175"/>
      <c r="G18" s="113"/>
      <c r="H18" s="114"/>
    </row>
    <row r="19" spans="2:8" ht="28.5" customHeight="1" x14ac:dyDescent="0.4">
      <c r="B19" s="110"/>
      <c r="C19" s="172" t="s">
        <v>42</v>
      </c>
      <c r="D19" s="173"/>
      <c r="E19" s="174" t="s">
        <v>212</v>
      </c>
      <c r="F19" s="175"/>
      <c r="G19" s="113"/>
      <c r="H19" s="114"/>
    </row>
    <row r="20" spans="2:8" ht="72.75" customHeight="1" x14ac:dyDescent="0.4">
      <c r="B20" s="110"/>
      <c r="C20" s="172" t="s">
        <v>1</v>
      </c>
      <c r="D20" s="173"/>
      <c r="E20" s="174" t="s">
        <v>213</v>
      </c>
      <c r="F20" s="175"/>
      <c r="G20" s="113"/>
      <c r="H20" s="114"/>
    </row>
    <row r="21" spans="2:8" ht="64.5" customHeight="1" x14ac:dyDescent="0.4">
      <c r="B21" s="110"/>
      <c r="C21" s="172" t="s">
        <v>50</v>
      </c>
      <c r="D21" s="173"/>
      <c r="E21" s="174" t="s">
        <v>171</v>
      </c>
      <c r="F21" s="175"/>
      <c r="G21" s="113"/>
      <c r="H21" s="114"/>
    </row>
    <row r="22" spans="2:8" ht="71.25" customHeight="1" x14ac:dyDescent="0.4">
      <c r="B22" s="110"/>
      <c r="C22" s="172" t="s">
        <v>170</v>
      </c>
      <c r="D22" s="173"/>
      <c r="E22" s="174" t="s">
        <v>172</v>
      </c>
      <c r="F22" s="175"/>
      <c r="G22" s="113"/>
      <c r="H22" s="114"/>
    </row>
    <row r="23" spans="2:8" ht="55.5" customHeight="1" x14ac:dyDescent="0.4">
      <c r="B23" s="110"/>
      <c r="C23" s="179" t="s">
        <v>173</v>
      </c>
      <c r="D23" s="180"/>
      <c r="E23" s="174" t="s">
        <v>174</v>
      </c>
      <c r="F23" s="175"/>
      <c r="G23" s="113"/>
      <c r="H23" s="114"/>
    </row>
    <row r="24" spans="2:8" ht="42" customHeight="1" x14ac:dyDescent="0.4">
      <c r="B24" s="110"/>
      <c r="C24" s="179" t="s">
        <v>48</v>
      </c>
      <c r="D24" s="180"/>
      <c r="E24" s="174" t="s">
        <v>175</v>
      </c>
      <c r="F24" s="175"/>
      <c r="G24" s="113"/>
      <c r="H24" s="114"/>
    </row>
    <row r="25" spans="2:8" ht="59.25" customHeight="1" x14ac:dyDescent="0.4">
      <c r="B25" s="110"/>
      <c r="C25" s="179" t="s">
        <v>163</v>
      </c>
      <c r="D25" s="180"/>
      <c r="E25" s="174" t="s">
        <v>176</v>
      </c>
      <c r="F25" s="175"/>
      <c r="G25" s="113"/>
      <c r="H25" s="114"/>
    </row>
    <row r="26" spans="2:8" ht="23.25" customHeight="1" x14ac:dyDescent="0.4">
      <c r="B26" s="110"/>
      <c r="C26" s="179" t="s">
        <v>12</v>
      </c>
      <c r="D26" s="180"/>
      <c r="E26" s="174" t="s">
        <v>177</v>
      </c>
      <c r="F26" s="175"/>
      <c r="G26" s="113"/>
      <c r="H26" s="114"/>
    </row>
    <row r="27" spans="2:8" ht="30.75" customHeight="1" x14ac:dyDescent="0.4">
      <c r="B27" s="110"/>
      <c r="C27" s="179" t="s">
        <v>181</v>
      </c>
      <c r="D27" s="180"/>
      <c r="E27" s="174" t="s">
        <v>178</v>
      </c>
      <c r="F27" s="175"/>
      <c r="G27" s="113"/>
      <c r="H27" s="114"/>
    </row>
    <row r="28" spans="2:8" ht="35.25" customHeight="1" x14ac:dyDescent="0.4">
      <c r="B28" s="110"/>
      <c r="C28" s="179" t="s">
        <v>182</v>
      </c>
      <c r="D28" s="180"/>
      <c r="E28" s="174" t="s">
        <v>179</v>
      </c>
      <c r="F28" s="175"/>
      <c r="G28" s="113"/>
      <c r="H28" s="114"/>
    </row>
    <row r="29" spans="2:8" ht="33" customHeight="1" x14ac:dyDescent="0.4">
      <c r="B29" s="110"/>
      <c r="C29" s="179" t="s">
        <v>182</v>
      </c>
      <c r="D29" s="180"/>
      <c r="E29" s="174" t="s">
        <v>179</v>
      </c>
      <c r="F29" s="175"/>
      <c r="G29" s="113"/>
      <c r="H29" s="114"/>
    </row>
    <row r="30" spans="2:8" ht="30" customHeight="1" x14ac:dyDescent="0.4">
      <c r="B30" s="110"/>
      <c r="C30" s="179" t="s">
        <v>183</v>
      </c>
      <c r="D30" s="180"/>
      <c r="E30" s="174" t="s">
        <v>180</v>
      </c>
      <c r="F30" s="175"/>
      <c r="G30" s="113"/>
      <c r="H30" s="114"/>
    </row>
    <row r="31" spans="2:8" ht="35.25" customHeight="1" x14ac:dyDescent="0.4">
      <c r="B31" s="110"/>
      <c r="C31" s="179" t="s">
        <v>184</v>
      </c>
      <c r="D31" s="180"/>
      <c r="E31" s="174" t="s">
        <v>185</v>
      </c>
      <c r="F31" s="175"/>
      <c r="G31" s="113"/>
      <c r="H31" s="114"/>
    </row>
    <row r="32" spans="2:8" ht="31.5" customHeight="1" x14ac:dyDescent="0.4">
      <c r="B32" s="110"/>
      <c r="C32" s="179" t="s">
        <v>186</v>
      </c>
      <c r="D32" s="180"/>
      <c r="E32" s="174" t="s">
        <v>187</v>
      </c>
      <c r="F32" s="175"/>
      <c r="G32" s="113"/>
      <c r="H32" s="114"/>
    </row>
    <row r="33" spans="2:8" ht="35.25" customHeight="1" x14ac:dyDescent="0.4">
      <c r="B33" s="110"/>
      <c r="C33" s="179" t="s">
        <v>188</v>
      </c>
      <c r="D33" s="180"/>
      <c r="E33" s="174" t="s">
        <v>189</v>
      </c>
      <c r="F33" s="175"/>
      <c r="G33" s="113"/>
      <c r="H33" s="114"/>
    </row>
    <row r="34" spans="2:8" ht="59.25" customHeight="1" x14ac:dyDescent="0.4">
      <c r="B34" s="110"/>
      <c r="C34" s="179" t="s">
        <v>190</v>
      </c>
      <c r="D34" s="180"/>
      <c r="E34" s="174" t="s">
        <v>191</v>
      </c>
      <c r="F34" s="175"/>
      <c r="G34" s="113"/>
      <c r="H34" s="114"/>
    </row>
    <row r="35" spans="2:8" ht="29.25" customHeight="1" x14ac:dyDescent="0.4">
      <c r="B35" s="110"/>
      <c r="C35" s="179" t="s">
        <v>29</v>
      </c>
      <c r="D35" s="180"/>
      <c r="E35" s="174" t="s">
        <v>192</v>
      </c>
      <c r="F35" s="175"/>
      <c r="G35" s="113"/>
      <c r="H35" s="114"/>
    </row>
    <row r="36" spans="2:8" ht="82.5" customHeight="1" x14ac:dyDescent="0.4">
      <c r="B36" s="110"/>
      <c r="C36" s="179" t="s">
        <v>194</v>
      </c>
      <c r="D36" s="180"/>
      <c r="E36" s="174" t="s">
        <v>193</v>
      </c>
      <c r="F36" s="175"/>
      <c r="G36" s="113"/>
      <c r="H36" s="114"/>
    </row>
    <row r="37" spans="2:8" ht="46.5" customHeight="1" x14ac:dyDescent="0.4">
      <c r="B37" s="110"/>
      <c r="C37" s="179" t="s">
        <v>39</v>
      </c>
      <c r="D37" s="180"/>
      <c r="E37" s="174" t="s">
        <v>195</v>
      </c>
      <c r="F37" s="175"/>
      <c r="G37" s="113"/>
      <c r="H37" s="114"/>
    </row>
    <row r="38" spans="2:8" ht="6.75" customHeight="1" thickBot="1" x14ac:dyDescent="0.45">
      <c r="B38" s="110"/>
      <c r="C38" s="181"/>
      <c r="D38" s="182"/>
      <c r="E38" s="183"/>
      <c r="F38" s="184"/>
      <c r="G38" s="113"/>
      <c r="H38" s="114"/>
    </row>
    <row r="39" spans="2:8" ht="15" thickTop="1" x14ac:dyDescent="0.4">
      <c r="B39" s="110"/>
      <c r="C39" s="111"/>
      <c r="D39" s="111"/>
      <c r="E39" s="112"/>
      <c r="F39" s="112"/>
      <c r="G39" s="113"/>
      <c r="H39" s="114"/>
    </row>
    <row r="40" spans="2:8" ht="21" customHeight="1" x14ac:dyDescent="0.4">
      <c r="B40" s="176" t="s">
        <v>204</v>
      </c>
      <c r="C40" s="177"/>
      <c r="D40" s="177"/>
      <c r="E40" s="177"/>
      <c r="F40" s="177"/>
      <c r="G40" s="177"/>
      <c r="H40" s="178"/>
    </row>
    <row r="41" spans="2:8" ht="20.25" customHeight="1" x14ac:dyDescent="0.4">
      <c r="B41" s="176" t="s">
        <v>205</v>
      </c>
      <c r="C41" s="177"/>
      <c r="D41" s="177"/>
      <c r="E41" s="177"/>
      <c r="F41" s="177"/>
      <c r="G41" s="177"/>
      <c r="H41" s="178"/>
    </row>
    <row r="42" spans="2:8" ht="20.25" customHeight="1" x14ac:dyDescent="0.4">
      <c r="B42" s="176" t="s">
        <v>206</v>
      </c>
      <c r="C42" s="177"/>
      <c r="D42" s="177"/>
      <c r="E42" s="177"/>
      <c r="F42" s="177"/>
      <c r="G42" s="177"/>
      <c r="H42" s="178"/>
    </row>
    <row r="43" spans="2:8" ht="20.25" customHeight="1" x14ac:dyDescent="0.4">
      <c r="B43" s="176" t="s">
        <v>207</v>
      </c>
      <c r="C43" s="177"/>
      <c r="D43" s="177"/>
      <c r="E43" s="177"/>
      <c r="F43" s="177"/>
      <c r="G43" s="177"/>
      <c r="H43" s="178"/>
    </row>
    <row r="44" spans="2:8" x14ac:dyDescent="0.4">
      <c r="B44" s="176" t="s">
        <v>208</v>
      </c>
      <c r="C44" s="177"/>
      <c r="D44" s="177"/>
      <c r="E44" s="177"/>
      <c r="F44" s="177"/>
      <c r="G44" s="177"/>
      <c r="H44" s="178"/>
    </row>
    <row r="45" spans="2:8" ht="15" thickBot="1" x14ac:dyDescent="0.45">
      <c r="B45" s="115"/>
      <c r="C45" s="116"/>
      <c r="D45" s="116"/>
      <c r="E45" s="116"/>
      <c r="F45" s="116"/>
      <c r="G45" s="116"/>
      <c r="H45" s="11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67"/>
  <sheetViews>
    <sheetView tabSelected="1" topLeftCell="A10" zoomScale="90" zoomScaleNormal="90" workbookViewId="0">
      <selection activeCell="AG23" sqref="AG23"/>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16.15234375" style="2" customWidth="1"/>
    <col min="5" max="5" width="32.3828125"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1" customWidth="1"/>
    <col min="35" max="35" width="18.53515625" style="1" customWidth="1"/>
    <col min="36" max="36" width="21" style="1" customWidth="1"/>
    <col min="37" max="16384" width="11.3828125" style="1"/>
  </cols>
  <sheetData>
    <row r="1" spans="1:68" ht="16.5" customHeight="1" x14ac:dyDescent="0.35">
      <c r="A1" s="246" t="s">
        <v>144</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249"/>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ht="14.6" thickBot="1" x14ac:dyDescent="0.4">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thickBot="1" x14ac:dyDescent="0.4">
      <c r="A4" s="224" t="s">
        <v>43</v>
      </c>
      <c r="B4" s="225"/>
      <c r="C4" s="238" t="s">
        <v>217</v>
      </c>
      <c r="D4" s="239"/>
      <c r="E4" s="239"/>
      <c r="F4" s="239"/>
      <c r="G4" s="239"/>
      <c r="H4" s="239"/>
      <c r="I4" s="239"/>
      <c r="J4" s="239"/>
      <c r="K4" s="239"/>
      <c r="L4" s="239"/>
      <c r="M4" s="239"/>
      <c r="N4" s="143"/>
      <c r="O4" s="234"/>
      <c r="P4" s="234"/>
      <c r="Q4" s="234"/>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60" customHeight="1" thickBot="1" x14ac:dyDescent="0.4">
      <c r="A5" s="224" t="s">
        <v>130</v>
      </c>
      <c r="B5" s="225"/>
      <c r="C5" s="240" t="s">
        <v>218</v>
      </c>
      <c r="D5" s="241"/>
      <c r="E5" s="241"/>
      <c r="F5" s="241"/>
      <c r="G5" s="241"/>
      <c r="H5" s="241"/>
      <c r="I5" s="241"/>
      <c r="J5" s="241"/>
      <c r="K5" s="241"/>
      <c r="L5" s="241"/>
      <c r="M5" s="241"/>
      <c r="N5" s="241"/>
      <c r="O5" s="241"/>
      <c r="P5" s="241"/>
      <c r="Q5" s="242"/>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24" t="s">
        <v>44</v>
      </c>
      <c r="B6" s="225"/>
      <c r="C6" s="231" t="s">
        <v>214</v>
      </c>
      <c r="D6" s="232"/>
      <c r="E6" s="232"/>
      <c r="F6" s="232"/>
      <c r="G6" s="232"/>
      <c r="H6" s="232"/>
      <c r="I6" s="232"/>
      <c r="J6" s="232"/>
      <c r="K6" s="232"/>
      <c r="L6" s="232"/>
      <c r="M6" s="232"/>
      <c r="N6" s="23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252" t="s">
        <v>139</v>
      </c>
      <c r="B7" s="253"/>
      <c r="C7" s="253"/>
      <c r="D7" s="253"/>
      <c r="E7" s="253"/>
      <c r="F7" s="253"/>
      <c r="G7" s="254"/>
      <c r="H7" s="252" t="s">
        <v>140</v>
      </c>
      <c r="I7" s="253"/>
      <c r="J7" s="253"/>
      <c r="K7" s="253"/>
      <c r="L7" s="253"/>
      <c r="M7" s="253"/>
      <c r="N7" s="254"/>
      <c r="O7" s="252" t="s">
        <v>141</v>
      </c>
      <c r="P7" s="253"/>
      <c r="Q7" s="253"/>
      <c r="R7" s="253"/>
      <c r="S7" s="253"/>
      <c r="T7" s="253"/>
      <c r="U7" s="253"/>
      <c r="V7" s="253"/>
      <c r="W7" s="254"/>
      <c r="X7" s="252" t="s">
        <v>142</v>
      </c>
      <c r="Y7" s="253"/>
      <c r="Z7" s="253"/>
      <c r="AA7" s="253"/>
      <c r="AB7" s="253"/>
      <c r="AC7" s="253"/>
      <c r="AD7" s="254"/>
      <c r="AE7" s="252" t="s">
        <v>34</v>
      </c>
      <c r="AF7" s="253"/>
      <c r="AG7" s="253"/>
      <c r="AH7" s="253"/>
      <c r="AI7" s="253"/>
      <c r="AJ7" s="25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26" t="s">
        <v>0</v>
      </c>
      <c r="B8" s="221" t="s">
        <v>2</v>
      </c>
      <c r="C8" s="215" t="s">
        <v>3</v>
      </c>
      <c r="D8" s="215" t="s">
        <v>42</v>
      </c>
      <c r="E8" s="228" t="s">
        <v>1</v>
      </c>
      <c r="F8" s="222" t="s">
        <v>50</v>
      </c>
      <c r="G8" s="215" t="s">
        <v>135</v>
      </c>
      <c r="H8" s="217" t="s">
        <v>33</v>
      </c>
      <c r="I8" s="218" t="s">
        <v>5</v>
      </c>
      <c r="J8" s="222" t="s">
        <v>87</v>
      </c>
      <c r="K8" s="222" t="s">
        <v>92</v>
      </c>
      <c r="L8" s="220" t="s">
        <v>45</v>
      </c>
      <c r="M8" s="218" t="s">
        <v>5</v>
      </c>
      <c r="N8" s="215" t="s">
        <v>48</v>
      </c>
      <c r="O8" s="229" t="s">
        <v>11</v>
      </c>
      <c r="P8" s="216" t="s">
        <v>163</v>
      </c>
      <c r="Q8" s="222" t="s">
        <v>12</v>
      </c>
      <c r="R8" s="216" t="s">
        <v>8</v>
      </c>
      <c r="S8" s="216"/>
      <c r="T8" s="216"/>
      <c r="U8" s="216"/>
      <c r="V8" s="216"/>
      <c r="W8" s="216"/>
      <c r="X8" s="214" t="s">
        <v>138</v>
      </c>
      <c r="Y8" s="214" t="s">
        <v>46</v>
      </c>
      <c r="Z8" s="214" t="s">
        <v>5</v>
      </c>
      <c r="AA8" s="214" t="s">
        <v>47</v>
      </c>
      <c r="AB8" s="214" t="s">
        <v>5</v>
      </c>
      <c r="AC8" s="214" t="s">
        <v>49</v>
      </c>
      <c r="AD8" s="229" t="s">
        <v>29</v>
      </c>
      <c r="AE8" s="216" t="s">
        <v>34</v>
      </c>
      <c r="AF8" s="216" t="s">
        <v>35</v>
      </c>
      <c r="AG8" s="216" t="s">
        <v>36</v>
      </c>
      <c r="AH8" s="223" t="s">
        <v>38</v>
      </c>
      <c r="AI8" s="223" t="s">
        <v>37</v>
      </c>
      <c r="AJ8" s="21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27"/>
      <c r="B9" s="221"/>
      <c r="C9" s="216"/>
      <c r="D9" s="216"/>
      <c r="E9" s="221"/>
      <c r="F9" s="215"/>
      <c r="G9" s="216"/>
      <c r="H9" s="215"/>
      <c r="I9" s="219"/>
      <c r="J9" s="215"/>
      <c r="K9" s="215"/>
      <c r="L9" s="219"/>
      <c r="M9" s="219"/>
      <c r="N9" s="216"/>
      <c r="O9" s="230"/>
      <c r="P9" s="216"/>
      <c r="Q9" s="215"/>
      <c r="R9" s="7" t="s">
        <v>13</v>
      </c>
      <c r="S9" s="7" t="s">
        <v>17</v>
      </c>
      <c r="T9" s="7" t="s">
        <v>28</v>
      </c>
      <c r="U9" s="7" t="s">
        <v>18</v>
      </c>
      <c r="V9" s="7" t="s">
        <v>21</v>
      </c>
      <c r="W9" s="7" t="s">
        <v>24</v>
      </c>
      <c r="X9" s="214"/>
      <c r="Y9" s="214"/>
      <c r="Z9" s="214"/>
      <c r="AA9" s="214"/>
      <c r="AB9" s="214"/>
      <c r="AC9" s="214"/>
      <c r="AD9" s="230"/>
      <c r="AE9" s="216"/>
      <c r="AF9" s="216"/>
      <c r="AG9" s="216"/>
      <c r="AH9" s="223"/>
      <c r="AI9" s="223"/>
      <c r="AJ9" s="21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53.25" customHeight="1" x14ac:dyDescent="0.4">
      <c r="A10" s="197">
        <v>1</v>
      </c>
      <c r="B10" s="188" t="s">
        <v>132</v>
      </c>
      <c r="C10" s="188"/>
      <c r="D10" s="200" t="s">
        <v>220</v>
      </c>
      <c r="E10" s="201" t="s">
        <v>219</v>
      </c>
      <c r="F10" s="188" t="s">
        <v>123</v>
      </c>
      <c r="G10" s="191" t="s">
        <v>216</v>
      </c>
      <c r="H10" s="194" t="s">
        <v>221</v>
      </c>
      <c r="I10" s="207">
        <v>0.8</v>
      </c>
      <c r="J10" s="210" t="s">
        <v>153</v>
      </c>
      <c r="K10" s="207"/>
      <c r="L10" s="194" t="s">
        <v>222</v>
      </c>
      <c r="M10" s="207">
        <v>0.8</v>
      </c>
      <c r="N10" s="204" t="s">
        <v>223</v>
      </c>
      <c r="O10" s="125"/>
      <c r="P10" s="243" t="s">
        <v>240</v>
      </c>
      <c r="Q10" s="127" t="s">
        <v>225</v>
      </c>
      <c r="R10" s="128" t="s">
        <v>16</v>
      </c>
      <c r="S10" s="128" t="s">
        <v>9</v>
      </c>
      <c r="T10" s="129">
        <v>0.3</v>
      </c>
      <c r="U10" s="128" t="s">
        <v>20</v>
      </c>
      <c r="V10" s="128" t="s">
        <v>22</v>
      </c>
      <c r="W10" s="128" t="s">
        <v>119</v>
      </c>
      <c r="X10" s="130"/>
      <c r="Y10" s="131" t="s">
        <v>221</v>
      </c>
      <c r="Z10" s="132">
        <v>0.7</v>
      </c>
      <c r="AA10" s="131" t="s">
        <v>226</v>
      </c>
      <c r="AB10" s="132">
        <v>0</v>
      </c>
      <c r="AC10" s="133" t="s">
        <v>215</v>
      </c>
      <c r="AD10" s="134" t="s">
        <v>32</v>
      </c>
      <c r="AE10" s="243" t="s">
        <v>224</v>
      </c>
      <c r="AF10" s="145" t="s">
        <v>227</v>
      </c>
      <c r="AG10" s="141" t="s">
        <v>228</v>
      </c>
      <c r="AH10" s="137"/>
      <c r="AI10" s="135"/>
      <c r="AJ10" s="13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35.25" hidden="1" customHeight="1" x14ac:dyDescent="0.35">
      <c r="A11" s="198"/>
      <c r="B11" s="189"/>
      <c r="C11" s="189"/>
      <c r="D11" s="189"/>
      <c r="E11" s="202"/>
      <c r="F11" s="189"/>
      <c r="G11" s="192"/>
      <c r="H11" s="195"/>
      <c r="I11" s="208"/>
      <c r="J11" s="211"/>
      <c r="K11" s="208"/>
      <c r="L11" s="195"/>
      <c r="M11" s="208"/>
      <c r="N11" s="205"/>
      <c r="O11" s="125"/>
      <c r="P11" s="244"/>
      <c r="Q11" s="127"/>
      <c r="R11" s="128"/>
      <c r="S11" s="128"/>
      <c r="T11" s="129"/>
      <c r="U11" s="128"/>
      <c r="V11" s="128"/>
      <c r="W11" s="128"/>
      <c r="X11" s="130"/>
      <c r="Y11" s="131"/>
      <c r="Z11" s="132"/>
      <c r="AA11" s="131"/>
      <c r="AB11" s="140"/>
      <c r="AC11" s="133"/>
      <c r="AD11" s="134"/>
      <c r="AE11" s="244"/>
      <c r="AF11" s="136"/>
      <c r="AG11" s="137"/>
      <c r="AH11" s="137"/>
      <c r="AI11" s="135"/>
      <c r="AJ11" s="136"/>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hidden="1" customHeight="1" x14ac:dyDescent="0.35">
      <c r="A12" s="198"/>
      <c r="B12" s="189"/>
      <c r="C12" s="189"/>
      <c r="D12" s="189"/>
      <c r="E12" s="202"/>
      <c r="F12" s="189"/>
      <c r="G12" s="192"/>
      <c r="H12" s="195"/>
      <c r="I12" s="208"/>
      <c r="J12" s="211"/>
      <c r="K12" s="208"/>
      <c r="L12" s="195"/>
      <c r="M12" s="208"/>
      <c r="N12" s="205"/>
      <c r="O12" s="125"/>
      <c r="P12" s="244"/>
      <c r="Q12" s="127"/>
      <c r="R12" s="128"/>
      <c r="S12" s="128"/>
      <c r="T12" s="129"/>
      <c r="U12" s="128"/>
      <c r="V12" s="128"/>
      <c r="W12" s="128"/>
      <c r="X12" s="130"/>
      <c r="Y12" s="131"/>
      <c r="Z12" s="132"/>
      <c r="AA12" s="131"/>
      <c r="AB12" s="140"/>
      <c r="AC12" s="133"/>
      <c r="AD12" s="134"/>
      <c r="AE12" s="244"/>
      <c r="AF12" s="136"/>
      <c r="AG12" s="137"/>
      <c r="AH12" s="137"/>
      <c r="AI12" s="135"/>
      <c r="AJ12" s="136"/>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hidden="1" customHeight="1" x14ac:dyDescent="0.35">
      <c r="A13" s="198"/>
      <c r="B13" s="189"/>
      <c r="C13" s="189"/>
      <c r="D13" s="189"/>
      <c r="E13" s="202"/>
      <c r="F13" s="189"/>
      <c r="G13" s="192"/>
      <c r="H13" s="195"/>
      <c r="I13" s="208"/>
      <c r="J13" s="211"/>
      <c r="K13" s="208"/>
      <c r="L13" s="195"/>
      <c r="M13" s="208"/>
      <c r="N13" s="205"/>
      <c r="O13" s="125"/>
      <c r="P13" s="244"/>
      <c r="Q13" s="127"/>
      <c r="R13" s="128"/>
      <c r="S13" s="128"/>
      <c r="T13" s="129"/>
      <c r="U13" s="128"/>
      <c r="V13" s="128"/>
      <c r="W13" s="128"/>
      <c r="X13" s="130"/>
      <c r="Y13" s="131"/>
      <c r="Z13" s="132"/>
      <c r="AA13" s="131"/>
      <c r="AB13" s="140"/>
      <c r="AC13" s="133"/>
      <c r="AD13" s="134"/>
      <c r="AE13" s="244"/>
      <c r="AF13" s="136"/>
      <c r="AG13" s="137"/>
      <c r="AH13" s="137"/>
      <c r="AI13" s="135"/>
      <c r="AJ13" s="136"/>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21.5" customHeight="1" x14ac:dyDescent="0.35">
      <c r="A14" s="199"/>
      <c r="B14" s="190"/>
      <c r="C14" s="190"/>
      <c r="D14" s="190"/>
      <c r="E14" s="203"/>
      <c r="F14" s="190"/>
      <c r="G14" s="193"/>
      <c r="H14" s="196"/>
      <c r="I14" s="209"/>
      <c r="J14" s="212"/>
      <c r="K14" s="209"/>
      <c r="L14" s="196"/>
      <c r="M14" s="209"/>
      <c r="N14" s="206"/>
      <c r="O14" s="125"/>
      <c r="P14" s="245"/>
      <c r="Q14" s="127"/>
      <c r="R14" s="128"/>
      <c r="S14" s="128"/>
      <c r="T14" s="129"/>
      <c r="U14" s="128"/>
      <c r="V14" s="128"/>
      <c r="W14" s="128"/>
      <c r="X14" s="130"/>
      <c r="Y14" s="131"/>
      <c r="Z14" s="132"/>
      <c r="AA14" s="131"/>
      <c r="AB14" s="140"/>
      <c r="AC14" s="133"/>
      <c r="AD14" s="134"/>
      <c r="AE14" s="245"/>
      <c r="AF14" s="136"/>
      <c r="AG14" s="137"/>
      <c r="AH14" s="137"/>
      <c r="AI14" s="135"/>
      <c r="AJ14" s="136"/>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70.5" customHeight="1" x14ac:dyDescent="0.35">
      <c r="A15" s="197">
        <v>2</v>
      </c>
      <c r="B15" s="188" t="s">
        <v>132</v>
      </c>
      <c r="C15" s="188"/>
      <c r="D15" s="188" t="s">
        <v>220</v>
      </c>
      <c r="E15" s="213" t="s">
        <v>229</v>
      </c>
      <c r="F15" s="188" t="s">
        <v>123</v>
      </c>
      <c r="G15" s="191" t="s">
        <v>216</v>
      </c>
      <c r="H15" s="194" t="s">
        <v>230</v>
      </c>
      <c r="I15" s="207">
        <v>0.4</v>
      </c>
      <c r="J15" s="210" t="s">
        <v>57</v>
      </c>
      <c r="K15" s="207"/>
      <c r="L15" s="194" t="s">
        <v>231</v>
      </c>
      <c r="M15" s="207">
        <v>0.4</v>
      </c>
      <c r="N15" s="204" t="s">
        <v>215</v>
      </c>
      <c r="O15" s="125"/>
      <c r="P15" s="185" t="s">
        <v>240</v>
      </c>
      <c r="Q15" s="127"/>
      <c r="R15" s="128" t="s">
        <v>15</v>
      </c>
      <c r="S15" s="128" t="s">
        <v>9</v>
      </c>
      <c r="T15" s="129">
        <v>0.3</v>
      </c>
      <c r="U15" s="128" t="s">
        <v>20</v>
      </c>
      <c r="V15" s="128" t="s">
        <v>22</v>
      </c>
      <c r="W15" s="128" t="s">
        <v>119</v>
      </c>
      <c r="X15" s="130"/>
      <c r="Y15" s="133" t="s">
        <v>215</v>
      </c>
      <c r="Z15" s="132">
        <v>0.4</v>
      </c>
      <c r="AA15" s="133" t="s">
        <v>233</v>
      </c>
      <c r="AB15" s="140">
        <v>0</v>
      </c>
      <c r="AC15" s="133" t="s">
        <v>215</v>
      </c>
      <c r="AD15" s="134" t="s">
        <v>32</v>
      </c>
      <c r="AE15" s="144" t="s">
        <v>232</v>
      </c>
      <c r="AF15" s="145" t="s">
        <v>227</v>
      </c>
      <c r="AG15" s="141" t="s">
        <v>228</v>
      </c>
      <c r="AH15" s="137"/>
      <c r="AI15" s="135"/>
      <c r="AJ15" s="136"/>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198"/>
      <c r="B16" s="189"/>
      <c r="C16" s="189"/>
      <c r="D16" s="189"/>
      <c r="E16" s="202"/>
      <c r="F16" s="189"/>
      <c r="G16" s="192"/>
      <c r="H16" s="195"/>
      <c r="I16" s="208"/>
      <c r="J16" s="211"/>
      <c r="K16" s="208"/>
      <c r="L16" s="195"/>
      <c r="M16" s="208"/>
      <c r="N16" s="205"/>
      <c r="O16" s="125"/>
      <c r="P16" s="186"/>
      <c r="Q16" s="127"/>
      <c r="R16" s="128"/>
      <c r="S16" s="128"/>
      <c r="T16" s="129"/>
      <c r="U16" s="128"/>
      <c r="V16" s="128"/>
      <c r="W16" s="128"/>
      <c r="X16" s="130"/>
      <c r="Y16" s="131"/>
      <c r="Z16" s="132"/>
      <c r="AA16" s="131"/>
      <c r="AB16" s="140"/>
      <c r="AC16" s="133"/>
      <c r="AD16" s="134"/>
      <c r="AE16" s="135"/>
      <c r="AF16" s="136"/>
      <c r="AG16" s="137"/>
      <c r="AH16" s="137"/>
      <c r="AI16" s="135"/>
      <c r="AJ16" s="136"/>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6.5" customHeight="1" x14ac:dyDescent="0.35">
      <c r="A17" s="198"/>
      <c r="B17" s="189"/>
      <c r="C17" s="189"/>
      <c r="D17" s="189"/>
      <c r="E17" s="202"/>
      <c r="F17" s="189"/>
      <c r="G17" s="192"/>
      <c r="H17" s="195"/>
      <c r="I17" s="208"/>
      <c r="J17" s="211"/>
      <c r="K17" s="208"/>
      <c r="L17" s="195"/>
      <c r="M17" s="208"/>
      <c r="N17" s="205"/>
      <c r="O17" s="125"/>
      <c r="P17" s="187"/>
      <c r="Q17" s="127"/>
      <c r="R17" s="128"/>
      <c r="S17" s="128"/>
      <c r="T17" s="129"/>
      <c r="U17" s="128"/>
      <c r="V17" s="128"/>
      <c r="W17" s="128"/>
      <c r="X17" s="130"/>
      <c r="Y17" s="131"/>
      <c r="Z17" s="132"/>
      <c r="AA17" s="131"/>
      <c r="AB17" s="140"/>
      <c r="AC17" s="133"/>
      <c r="AD17" s="134"/>
      <c r="AE17" s="135"/>
      <c r="AF17" s="136"/>
      <c r="AG17" s="137"/>
      <c r="AH17" s="137"/>
      <c r="AI17" s="135"/>
      <c r="AJ17" s="136"/>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hidden="1" customHeight="1" x14ac:dyDescent="0.35">
      <c r="A18" s="198"/>
      <c r="B18" s="189"/>
      <c r="C18" s="189"/>
      <c r="D18" s="189"/>
      <c r="E18" s="202"/>
      <c r="F18" s="189"/>
      <c r="G18" s="192"/>
      <c r="H18" s="195"/>
      <c r="I18" s="208"/>
      <c r="J18" s="211"/>
      <c r="K18" s="208"/>
      <c r="L18" s="195"/>
      <c r="M18" s="208"/>
      <c r="N18" s="205"/>
      <c r="O18" s="125"/>
      <c r="P18" s="126"/>
      <c r="Q18" s="127"/>
      <c r="R18" s="128"/>
      <c r="S18" s="128"/>
      <c r="T18" s="129"/>
      <c r="U18" s="128"/>
      <c r="V18" s="128"/>
      <c r="W18" s="128"/>
      <c r="X18" s="130"/>
      <c r="Y18" s="131"/>
      <c r="Z18" s="132"/>
      <c r="AA18" s="131"/>
      <c r="AB18" s="140"/>
      <c r="AC18" s="133"/>
      <c r="AD18" s="134"/>
      <c r="AE18" s="135"/>
      <c r="AF18" s="136"/>
      <c r="AG18" s="137"/>
      <c r="AH18" s="137"/>
      <c r="AI18" s="135"/>
      <c r="AJ18" s="136"/>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 hidden="1" customHeight="1" x14ac:dyDescent="0.35">
      <c r="A19" s="198"/>
      <c r="B19" s="189"/>
      <c r="C19" s="189"/>
      <c r="D19" s="189"/>
      <c r="E19" s="202"/>
      <c r="F19" s="189"/>
      <c r="G19" s="192"/>
      <c r="H19" s="195"/>
      <c r="I19" s="208"/>
      <c r="J19" s="211"/>
      <c r="K19" s="208"/>
      <c r="L19" s="195"/>
      <c r="M19" s="208"/>
      <c r="N19" s="205"/>
      <c r="O19" s="125"/>
      <c r="P19" s="126"/>
      <c r="Q19" s="127"/>
      <c r="R19" s="128"/>
      <c r="S19" s="128"/>
      <c r="T19" s="129"/>
      <c r="U19" s="128"/>
      <c r="V19" s="128"/>
      <c r="W19" s="128"/>
      <c r="X19" s="130"/>
      <c r="Y19" s="131"/>
      <c r="Z19" s="132"/>
      <c r="AA19" s="131"/>
      <c r="AB19" s="140"/>
      <c r="AC19" s="133"/>
      <c r="AD19" s="134"/>
      <c r="AE19" s="135"/>
      <c r="AF19" s="136"/>
      <c r="AG19" s="137"/>
      <c r="AH19" s="137"/>
      <c r="AI19" s="135"/>
      <c r="AJ19" s="136"/>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hidden="1" customHeight="1" x14ac:dyDescent="0.35">
      <c r="A20" s="199"/>
      <c r="B20" s="190"/>
      <c r="C20" s="190"/>
      <c r="D20" s="190"/>
      <c r="E20" s="203"/>
      <c r="F20" s="190"/>
      <c r="G20" s="193"/>
      <c r="H20" s="196"/>
      <c r="I20" s="209"/>
      <c r="J20" s="212"/>
      <c r="K20" s="209"/>
      <c r="L20" s="196"/>
      <c r="M20" s="209"/>
      <c r="N20" s="206"/>
      <c r="O20" s="125"/>
      <c r="P20" s="126"/>
      <c r="Q20" s="127"/>
      <c r="R20" s="128"/>
      <c r="S20" s="128"/>
      <c r="T20" s="129"/>
      <c r="U20" s="128"/>
      <c r="V20" s="128"/>
      <c r="W20" s="128"/>
      <c r="X20" s="130"/>
      <c r="Y20" s="131"/>
      <c r="Z20" s="132"/>
      <c r="AA20" s="131"/>
      <c r="AB20" s="140"/>
      <c r="AC20" s="133"/>
      <c r="AD20" s="134"/>
      <c r="AE20" s="135"/>
      <c r="AF20" s="136"/>
      <c r="AG20" s="137"/>
      <c r="AH20" s="137"/>
      <c r="AI20" s="135"/>
      <c r="AJ20" s="136"/>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68.25" customHeight="1" x14ac:dyDescent="0.35">
      <c r="A21" s="197">
        <v>3</v>
      </c>
      <c r="B21" s="188" t="s">
        <v>134</v>
      </c>
      <c r="C21" s="188"/>
      <c r="D21" s="188" t="s">
        <v>235</v>
      </c>
      <c r="E21" s="213" t="s">
        <v>234</v>
      </c>
      <c r="F21" s="188" t="s">
        <v>123</v>
      </c>
      <c r="G21" s="191" t="s">
        <v>216</v>
      </c>
      <c r="H21" s="194" t="s">
        <v>221</v>
      </c>
      <c r="I21" s="207">
        <f>IF(H21="","",IF(H21="Muy Baja",0.2,IF(H21="Baja",0.4,IF(H21="Media",0.6,IF(H21="Alta",0.8,IF(H21="Muy Alta",1,))))))</f>
        <v>0.8</v>
      </c>
      <c r="J21" s="210" t="s">
        <v>57</v>
      </c>
      <c r="K21" s="207" t="str">
        <f ca="1">IF(NOT(ISERROR(MATCH(J21,'Tabla Impacto'!$B$221:$B$223,0))),'Tabla Impacto'!$F$223&amp;"Por favor no seleccionar los criterios de impacto(Afectación Económica o presupuestal y Pérdida Reputacional)",J21)</f>
        <v>Pérdida Reputacional</v>
      </c>
      <c r="L21" s="194" t="s">
        <v>222</v>
      </c>
      <c r="M21" s="207">
        <f>IF(L21="","",IF(L21="Leve",0.2,IF(L21="Menor",0.4,IF(L21="Moderado",0.6,IF(L21="Mayor",0.8,IF(L21="Catastrófico",1,))))))</f>
        <v>0.8</v>
      </c>
      <c r="N21" s="204"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Alto</v>
      </c>
      <c r="O21" s="125">
        <v>1</v>
      </c>
      <c r="P21" s="144" t="s">
        <v>241</v>
      </c>
      <c r="Q21" s="127" t="str">
        <f>IF(OR(R21="Preventivo",R21="Detectivo"),"Probabilidad",IF(R21="Correctivo","Impacto",""))</f>
        <v>Impacto</v>
      </c>
      <c r="R21" s="128" t="s">
        <v>16</v>
      </c>
      <c r="S21" s="128" t="s">
        <v>9</v>
      </c>
      <c r="T21" s="129" t="str">
        <f>IF(AND(R21="Preventivo",S21="Automático"),"50%",IF(AND(R21="Preventivo",S21="Manual"),"40%",IF(AND(R21="Detectivo",S21="Automático"),"40%",IF(AND(R21="Detectivo",S21="Manual"),"30%",IF(AND(R21="Correctivo",S21="Automático"),"35%",IF(AND(R21="Correctivo",S21="Manual"),"25%",""))))))</f>
        <v>25%</v>
      </c>
      <c r="U21" s="128" t="s">
        <v>20</v>
      </c>
      <c r="V21" s="128" t="s">
        <v>22</v>
      </c>
      <c r="W21" s="128" t="s">
        <v>119</v>
      </c>
      <c r="X21" s="130">
        <f>IFERROR(IF(Q21="Probabilidad",(I21-(+I21*T21)),IF(Q21="Impacto",I21,"")),"")</f>
        <v>0.8</v>
      </c>
      <c r="Y21" s="131" t="str">
        <f>IFERROR(IF(X21="","",IF(X21&lt;=0.2,"Muy Baja",IF(X21&lt;=0.4,"Baja",IF(X21&lt;=0.6,"Media",IF(X21&lt;=0.8,"Alta","Muy Alta"))))),"")</f>
        <v>Alta</v>
      </c>
      <c r="Z21" s="132">
        <f>+X21</f>
        <v>0.8</v>
      </c>
      <c r="AA21" s="131" t="str">
        <f>IFERROR(IF(AB21="","",IF(AB21&lt;=0.2,"Leve",IF(AB21&lt;=0.4,"Menor",IF(AB21&lt;=0.6,"Moderado",IF(AB21&lt;=0.8,"Mayor","Catastrófico"))))),"")</f>
        <v>Moderado</v>
      </c>
      <c r="AB21" s="140">
        <f>IFERROR(IF(Q21="Impacto",(M21-(+M21*T21)),IF(Q21="Probabilidad",M21,"")),"")</f>
        <v>0.60000000000000009</v>
      </c>
      <c r="AC21" s="13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Alto</v>
      </c>
      <c r="AD21" s="134" t="s">
        <v>32</v>
      </c>
      <c r="AE21" s="144" t="s">
        <v>236</v>
      </c>
      <c r="AF21" s="145" t="s">
        <v>227</v>
      </c>
      <c r="AG21" s="141" t="s">
        <v>228</v>
      </c>
      <c r="AH21" s="137"/>
      <c r="AI21" s="135"/>
      <c r="AJ21" s="136"/>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198"/>
      <c r="B22" s="189"/>
      <c r="C22" s="189"/>
      <c r="D22" s="189"/>
      <c r="E22" s="202"/>
      <c r="F22" s="189"/>
      <c r="G22" s="192"/>
      <c r="H22" s="195"/>
      <c r="I22" s="208"/>
      <c r="J22" s="211"/>
      <c r="K22" s="208">
        <f ca="1">IF(NOT(ISERROR(MATCH(J22,_xlfn.ANCHORARRAY(E29),0))),I31&amp;"Por favor no seleccionar los criterios de impacto",J22)</f>
        <v>0</v>
      </c>
      <c r="L22" s="195"/>
      <c r="M22" s="208"/>
      <c r="N22" s="205"/>
      <c r="O22" s="125">
        <v>2</v>
      </c>
      <c r="P22" s="126"/>
      <c r="Q22" s="127" t="str">
        <f>IF(OR(R22="Preventivo",R22="Detectivo"),"Probabilidad",IF(R22="Correctivo","Impacto",""))</f>
        <v/>
      </c>
      <c r="R22" s="128"/>
      <c r="S22" s="128"/>
      <c r="T22" s="129" t="str">
        <f t="shared" ref="T22" si="0">IF(AND(R22="Preventivo",S22="Automático"),"50%",IF(AND(R22="Preventivo",S22="Manual"),"40%",IF(AND(R22="Detectivo",S22="Automático"),"40%",IF(AND(R22="Detectivo",S22="Manual"),"30%",IF(AND(R22="Correctivo",S22="Automático"),"35%",IF(AND(R22="Correctivo",S22="Manual"),"25%",""))))))</f>
        <v/>
      </c>
      <c r="U22" s="128"/>
      <c r="V22" s="128"/>
      <c r="W22" s="128"/>
      <c r="X22" s="139" t="str">
        <f>IFERROR(IF(AND(Q21="Probabilidad",Q22="Probabilidad"),(Z21-(+Z21*T22)),IF(Q22="Probabilidad",(I21-(+I21*T22)),IF(Q22="Impacto",Z21,""))),"")</f>
        <v/>
      </c>
      <c r="Y22" s="131" t="str">
        <f t="shared" ref="Y22:Y64" si="1">IFERROR(IF(X22="","",IF(X22&lt;=0.2,"Muy Baja",IF(X22&lt;=0.4,"Baja",IF(X22&lt;=0.6,"Media",IF(X22&lt;=0.8,"Alta","Muy Alta"))))),"")</f>
        <v/>
      </c>
      <c r="Z22" s="132" t="str">
        <f t="shared" ref="Z22" si="2">+X22</f>
        <v/>
      </c>
      <c r="AA22" s="131" t="str">
        <f t="shared" ref="AA22:AA64" si="3">IFERROR(IF(AB22="","",IF(AB22&lt;=0.2,"Leve",IF(AB22&lt;=0.4,"Menor",IF(AB22&lt;=0.6,"Moderado",IF(AB22&lt;=0.8,"Mayor","Catastrófico"))))),"")</f>
        <v/>
      </c>
      <c r="AB22" s="140" t="str">
        <f>IFERROR(IF(AND(Q21="Impacto",Q22="Impacto"),(AB21-(+AB21*T22)),IF(Q22="Impacto",(M21-(+M21*T22)),IF(Q22="Probabilidad",AB21,""))),"")</f>
        <v/>
      </c>
      <c r="AC22" s="133" t="str">
        <f t="shared" ref="AC22" si="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137"/>
      <c r="AI22" s="135"/>
      <c r="AJ22" s="136"/>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50.25" customHeight="1" x14ac:dyDescent="0.35">
      <c r="A23" s="197">
        <v>4</v>
      </c>
      <c r="B23" s="188" t="s">
        <v>132</v>
      </c>
      <c r="C23" s="188"/>
      <c r="D23" s="188"/>
      <c r="E23" s="213" t="s">
        <v>237</v>
      </c>
      <c r="F23" s="188" t="s">
        <v>123</v>
      </c>
      <c r="G23" s="191" t="s">
        <v>216</v>
      </c>
      <c r="H23" s="194" t="str">
        <f>IF(G23&lt;=0,"",IF(G23&lt;=2,"Muy Baja",IF(G23&lt;=24,"Baja",IF(G23&lt;=500,"Media",IF(G23&lt;=5000,"Alta","Muy Alta")))))</f>
        <v>Muy Alta</v>
      </c>
      <c r="I23" s="207">
        <f>IF(H23="","",IF(H23="Muy Baja",0.2,IF(H23="Baja",0.4,IF(H23="Media",0.6,IF(H23="Alta",0.8,IF(H23="Muy Alta",1,))))))</f>
        <v>1</v>
      </c>
      <c r="J23" s="210" t="s">
        <v>57</v>
      </c>
      <c r="K23" s="207" t="str">
        <f ca="1">IF(NOT(ISERROR(MATCH(J23,'Tabla Impacto'!$B$221:$B$223,0))),'Tabla Impacto'!$F$223&amp;"Por favor no seleccionar los criterios de impacto(Afectación Económica o presupuestal y Pérdida Reputacional)",J23)</f>
        <v>Pérdida Reputacional</v>
      </c>
      <c r="L23" s="194" t="s">
        <v>222</v>
      </c>
      <c r="M23" s="207">
        <f>IF(L23="","",IF(L23="Leve",0.2,IF(L23="Menor",0.4,IF(L23="Moderado",0.6,IF(L23="Mayor",0.8,IF(L23="Catastrófico",1,))))))</f>
        <v>0.8</v>
      </c>
      <c r="N23" s="204"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Alto</v>
      </c>
      <c r="O23" s="125">
        <v>1</v>
      </c>
      <c r="P23" s="185" t="s">
        <v>240</v>
      </c>
      <c r="Q23" s="127" t="s">
        <v>239</v>
      </c>
      <c r="R23" s="128" t="s">
        <v>15</v>
      </c>
      <c r="S23" s="128" t="s">
        <v>9</v>
      </c>
      <c r="T23" s="129" t="str">
        <f>IF(AND(R23="Preventivo",S23="Automático"),"50%",IF(AND(R23="Preventivo",S23="Manual"),"40%",IF(AND(R23="Detectivo",S23="Automático"),"40%",IF(AND(R23="Detectivo",S23="Manual"),"30%",IF(AND(R23="Correctivo",S23="Automático"),"35%",IF(AND(R23="Correctivo",S23="Manual"),"25%",""))))))</f>
        <v>30%</v>
      </c>
      <c r="U23" s="128" t="s">
        <v>20</v>
      </c>
      <c r="V23" s="128" t="s">
        <v>22</v>
      </c>
      <c r="W23" s="128" t="s">
        <v>119</v>
      </c>
      <c r="X23" s="130">
        <f>IFERROR(IF(Q23="Probabilidad",(I23-(+I23*T23)),IF(Q23="Impacto",I23,"")),"")</f>
        <v>1</v>
      </c>
      <c r="Y23" s="131" t="str">
        <f>IFERROR(IF(X23="","",IF(X23&lt;=0.2,"Muy Baja",IF(X23&lt;=0.4,"Baja",IF(X23&lt;=0.6,"Media",IF(X23&lt;=0.8,"Alta","Muy Alta"))))),"")</f>
        <v>Muy Alta</v>
      </c>
      <c r="Z23" s="132">
        <f>+X23</f>
        <v>1</v>
      </c>
      <c r="AA23" s="131" t="str">
        <f>IFERROR(IF(AB23="","",IF(AB23&lt;=0.2,"Leve",IF(AB23&lt;=0.4,"Menor",IF(AB23&lt;=0.6,"Moderado",IF(AB23&lt;=0.8,"Mayor","Catastrófico"))))),"")</f>
        <v>Moderado</v>
      </c>
      <c r="AB23" s="140">
        <f>IFERROR(IF(Q23="Impacto",(M23-(+M23*T23)),IF(Q23="Probabilidad",M23,"")),"")</f>
        <v>0.56000000000000005</v>
      </c>
      <c r="AC23" s="133"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Alto</v>
      </c>
      <c r="AD23" s="134" t="s">
        <v>32</v>
      </c>
      <c r="AE23" s="142" t="s">
        <v>238</v>
      </c>
      <c r="AF23" s="145" t="s">
        <v>227</v>
      </c>
      <c r="AG23" s="141" t="s">
        <v>228</v>
      </c>
      <c r="AH23" s="137"/>
      <c r="AI23" s="135"/>
      <c r="AJ23" s="136"/>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198"/>
      <c r="B24" s="189"/>
      <c r="C24" s="189"/>
      <c r="D24" s="189"/>
      <c r="E24" s="202"/>
      <c r="F24" s="189"/>
      <c r="G24" s="192"/>
      <c r="H24" s="195"/>
      <c r="I24" s="208"/>
      <c r="J24" s="211"/>
      <c r="K24" s="208">
        <f t="shared" ref="K24:K28" ca="1" si="5">IF(NOT(ISERROR(MATCH(J24,_xlfn.ANCHORARRAY(E35),0))),I37&amp;"Por favor no seleccionar los criterios de impacto",J24)</f>
        <v>0</v>
      </c>
      <c r="L24" s="195"/>
      <c r="M24" s="208"/>
      <c r="N24" s="205"/>
      <c r="O24" s="125">
        <v>2</v>
      </c>
      <c r="P24" s="186"/>
      <c r="Q24" s="127" t="str">
        <f>IF(OR(R24="Preventivo",R24="Detectivo"),"Probabilidad",IF(R24="Correctivo","Impacto",""))</f>
        <v/>
      </c>
      <c r="R24" s="128"/>
      <c r="S24" s="128"/>
      <c r="T24" s="129" t="str">
        <f t="shared" ref="T24:T28" si="6">IF(AND(R24="Preventivo",S24="Automático"),"50%",IF(AND(R24="Preventivo",S24="Manual"),"40%",IF(AND(R24="Detectivo",S24="Automático"),"40%",IF(AND(R24="Detectivo",S24="Manual"),"30%",IF(AND(R24="Correctivo",S24="Automático"),"35%",IF(AND(R24="Correctivo",S24="Manual"),"25%",""))))))</f>
        <v/>
      </c>
      <c r="U24" s="128"/>
      <c r="V24" s="128"/>
      <c r="W24" s="128"/>
      <c r="X24" s="130" t="str">
        <f>IFERROR(IF(AND(Q23="Probabilidad",Q24="Probabilidad"),(Z23-(+Z23*T24)),IF(Q24="Probabilidad",(I23-(+I23*T24)),IF(Q24="Impacto",Z23,""))),"")</f>
        <v/>
      </c>
      <c r="Y24" s="131" t="str">
        <f t="shared" si="1"/>
        <v/>
      </c>
      <c r="Z24" s="132" t="str">
        <f t="shared" ref="Z24:Z28" si="7">+X24</f>
        <v/>
      </c>
      <c r="AA24" s="131" t="str">
        <f t="shared" si="3"/>
        <v/>
      </c>
      <c r="AB24" s="140" t="str">
        <f>IFERROR(IF(AND(Q23="Impacto",Q24="Impacto"),(AB23-(+AB23*T24)),IF(Q24="Impacto",(M23-(+M23*T24)),IF(Q24="Probabilidad",AB23,""))),"")</f>
        <v/>
      </c>
      <c r="AC24" s="133" t="str">
        <f t="shared" ref="AC24:AC25" si="8">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137"/>
      <c r="AI24" s="135"/>
      <c r="AJ24" s="136"/>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0.5" customHeight="1" x14ac:dyDescent="0.35">
      <c r="A25" s="198"/>
      <c r="B25" s="189"/>
      <c r="C25" s="189"/>
      <c r="D25" s="189"/>
      <c r="E25" s="202"/>
      <c r="F25" s="189"/>
      <c r="G25" s="192"/>
      <c r="H25" s="195"/>
      <c r="I25" s="208"/>
      <c r="J25" s="211"/>
      <c r="K25" s="208">
        <f t="shared" ca="1" si="5"/>
        <v>0</v>
      </c>
      <c r="L25" s="195"/>
      <c r="M25" s="208"/>
      <c r="N25" s="205"/>
      <c r="O25" s="125">
        <v>3</v>
      </c>
      <c r="P25" s="187"/>
      <c r="Q25" s="127" t="str">
        <f>IF(OR(R25="Preventivo",R25="Detectivo"),"Probabilidad",IF(R25="Correctivo","Impacto",""))</f>
        <v/>
      </c>
      <c r="R25" s="128"/>
      <c r="S25" s="128"/>
      <c r="T25" s="129" t="str">
        <f t="shared" si="6"/>
        <v/>
      </c>
      <c r="U25" s="128"/>
      <c r="V25" s="128"/>
      <c r="W25" s="128"/>
      <c r="X25" s="130" t="str">
        <f>IFERROR(IF(AND(Q24="Probabilidad",Q25="Probabilidad"),(Z24-(+Z24*T25)),IF(AND(Q24="Impacto",Q25="Probabilidad"),(Z23-(+Z23*T25)),IF(Q25="Impacto",Z24,""))),"")</f>
        <v/>
      </c>
      <c r="Y25" s="131" t="str">
        <f t="shared" si="1"/>
        <v/>
      </c>
      <c r="Z25" s="132" t="str">
        <f t="shared" si="7"/>
        <v/>
      </c>
      <c r="AA25" s="131" t="str">
        <f t="shared" si="3"/>
        <v/>
      </c>
      <c r="AB25" s="140" t="str">
        <f>IFERROR(IF(AND(Q24="Impacto",Q25="Impacto"),(AB24-(+AB24*T25)),IF(AND(Q24="Probabilidad",Q25="Impacto"),(AB23-(+AB23*T25)),IF(Q25="Probabilidad",AB24,""))),"")</f>
        <v/>
      </c>
      <c r="AC25" s="133" t="str">
        <f t="shared" si="8"/>
        <v/>
      </c>
      <c r="AD25" s="134"/>
      <c r="AE25" s="135"/>
      <c r="AF25" s="136"/>
      <c r="AG25" s="137"/>
      <c r="AH25" s="137"/>
      <c r="AI25" s="135"/>
      <c r="AJ25" s="136"/>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 customHeight="1" x14ac:dyDescent="0.35">
      <c r="A26" s="198"/>
      <c r="B26" s="189"/>
      <c r="C26" s="189"/>
      <c r="D26" s="189"/>
      <c r="E26" s="202"/>
      <c r="F26" s="189"/>
      <c r="G26" s="192"/>
      <c r="H26" s="195"/>
      <c r="I26" s="208"/>
      <c r="J26" s="211"/>
      <c r="K26" s="208">
        <f t="shared" ca="1" si="5"/>
        <v>0</v>
      </c>
      <c r="L26" s="195"/>
      <c r="M26" s="208"/>
      <c r="N26" s="205"/>
      <c r="O26" s="125">
        <v>4</v>
      </c>
      <c r="P26" s="126"/>
      <c r="Q26" s="127" t="str">
        <f t="shared" ref="Q26:Q28" si="9">IF(OR(R26="Preventivo",R26="Detectivo"),"Probabilidad",IF(R26="Correctivo","Impacto",""))</f>
        <v/>
      </c>
      <c r="R26" s="128"/>
      <c r="S26" s="128"/>
      <c r="T26" s="129" t="str">
        <f t="shared" si="6"/>
        <v/>
      </c>
      <c r="U26" s="128"/>
      <c r="V26" s="128"/>
      <c r="W26" s="128"/>
      <c r="X26" s="130" t="str">
        <f t="shared" ref="X26:X28" si="10">IFERROR(IF(AND(Q25="Probabilidad",Q26="Probabilidad"),(Z25-(+Z25*T26)),IF(AND(Q25="Impacto",Q26="Probabilidad"),(Z24-(+Z24*T26)),IF(Q26="Impacto",Z25,""))),"")</f>
        <v/>
      </c>
      <c r="Y26" s="131" t="str">
        <f t="shared" si="1"/>
        <v/>
      </c>
      <c r="Z26" s="132" t="str">
        <f t="shared" si="7"/>
        <v/>
      </c>
      <c r="AA26" s="131" t="str">
        <f t="shared" si="3"/>
        <v/>
      </c>
      <c r="AB26" s="140" t="str">
        <f t="shared" ref="AB26:AB28" si="11">IFERROR(IF(AND(Q25="Impacto",Q26="Impacto"),(AB25-(+AB25*T26)),IF(AND(Q25="Probabilidad",Q26="Impacto"),(AB24-(+AB24*T26)),IF(Q26="Probabilidad",AB25,""))),"")</f>
        <v/>
      </c>
      <c r="AC26" s="133"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4"/>
      <c r="AE26" s="135"/>
      <c r="AF26" s="136"/>
      <c r="AG26" s="137"/>
      <c r="AH26" s="137"/>
      <c r="AI26" s="135"/>
      <c r="AJ26" s="136"/>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hidden="1" customHeight="1" x14ac:dyDescent="0.35">
      <c r="A27" s="198"/>
      <c r="B27" s="189"/>
      <c r="C27" s="189"/>
      <c r="D27" s="189"/>
      <c r="E27" s="202"/>
      <c r="F27" s="189"/>
      <c r="G27" s="192"/>
      <c r="H27" s="195"/>
      <c r="I27" s="208"/>
      <c r="J27" s="211"/>
      <c r="K27" s="208">
        <f t="shared" ca="1" si="5"/>
        <v>0</v>
      </c>
      <c r="L27" s="195"/>
      <c r="M27" s="208"/>
      <c r="N27" s="205"/>
      <c r="O27" s="125">
        <v>5</v>
      </c>
      <c r="P27" s="126"/>
      <c r="Q27" s="127" t="str">
        <f t="shared" si="9"/>
        <v/>
      </c>
      <c r="R27" s="128"/>
      <c r="S27" s="128"/>
      <c r="T27" s="129" t="str">
        <f t="shared" si="6"/>
        <v/>
      </c>
      <c r="U27" s="128"/>
      <c r="V27" s="128"/>
      <c r="W27" s="128"/>
      <c r="X27" s="139" t="str">
        <f t="shared" si="10"/>
        <v/>
      </c>
      <c r="Y27" s="131" t="str">
        <f>IFERROR(IF(X27="","",IF(X27&lt;=0.2,"Muy Baja",IF(X27&lt;=0.4,"Baja",IF(X27&lt;=0.6,"Media",IF(X27&lt;=0.8,"Alta","Muy Alta"))))),"")</f>
        <v/>
      </c>
      <c r="Z27" s="132" t="str">
        <f t="shared" si="7"/>
        <v/>
      </c>
      <c r="AA27" s="131" t="str">
        <f t="shared" si="3"/>
        <v/>
      </c>
      <c r="AB27" s="140" t="str">
        <f t="shared" si="11"/>
        <v/>
      </c>
      <c r="AC27" s="133" t="str">
        <f t="shared" ref="AC27:AC28" si="12">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137"/>
      <c r="AI27" s="135"/>
      <c r="AJ27" s="136"/>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hidden="1" customHeight="1" x14ac:dyDescent="0.35">
      <c r="A28" s="199"/>
      <c r="B28" s="190"/>
      <c r="C28" s="190"/>
      <c r="D28" s="190"/>
      <c r="E28" s="203"/>
      <c r="F28" s="190"/>
      <c r="G28" s="193"/>
      <c r="H28" s="196"/>
      <c r="I28" s="209"/>
      <c r="J28" s="212"/>
      <c r="K28" s="209">
        <f t="shared" ca="1" si="5"/>
        <v>0</v>
      </c>
      <c r="L28" s="196"/>
      <c r="M28" s="209"/>
      <c r="N28" s="206"/>
      <c r="O28" s="125">
        <v>6</v>
      </c>
      <c r="P28" s="126"/>
      <c r="Q28" s="127" t="str">
        <f t="shared" si="9"/>
        <v/>
      </c>
      <c r="R28" s="128"/>
      <c r="S28" s="128"/>
      <c r="T28" s="129" t="str">
        <f t="shared" si="6"/>
        <v/>
      </c>
      <c r="U28" s="128"/>
      <c r="V28" s="128"/>
      <c r="W28" s="128"/>
      <c r="X28" s="130" t="str">
        <f t="shared" si="10"/>
        <v/>
      </c>
      <c r="Y28" s="131" t="str">
        <f t="shared" si="1"/>
        <v/>
      </c>
      <c r="Z28" s="132" t="str">
        <f t="shared" si="7"/>
        <v/>
      </c>
      <c r="AA28" s="131" t="str">
        <f t="shared" si="3"/>
        <v/>
      </c>
      <c r="AB28" s="140" t="str">
        <f t="shared" si="11"/>
        <v/>
      </c>
      <c r="AC28" s="133" t="str">
        <f t="shared" si="12"/>
        <v/>
      </c>
      <c r="AD28" s="134"/>
      <c r="AE28" s="135"/>
      <c r="AF28" s="136"/>
      <c r="AG28" s="137"/>
      <c r="AH28" s="137"/>
      <c r="AI28" s="135"/>
      <c r="AJ28" s="136"/>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197">
        <v>5</v>
      </c>
      <c r="B29" s="188"/>
      <c r="C29" s="188"/>
      <c r="D29" s="188"/>
      <c r="E29" s="213"/>
      <c r="F29" s="188"/>
      <c r="G29" s="191"/>
      <c r="H29" s="194" t="str">
        <f>IF(G29&lt;=0,"",IF(G29&lt;=2,"Muy Baja",IF(G29&lt;=24,"Baja",IF(G29&lt;=500,"Media",IF(G29&lt;=5000,"Alta","Muy Alta")))))</f>
        <v/>
      </c>
      <c r="I29" s="207" t="str">
        <f>IF(H29="","",IF(H29="Muy Baja",0.2,IF(H29="Baja",0.4,IF(H29="Media",0.6,IF(H29="Alta",0.8,IF(H29="Muy Alta",1,))))))</f>
        <v/>
      </c>
      <c r="J29" s="210"/>
      <c r="K29" s="207">
        <f ca="1">IF(NOT(ISERROR(MATCH(J29,'Tabla Impacto'!$B$221:$B$223,0))),'Tabla Impacto'!$F$223&amp;"Por favor no seleccionar los criterios de impacto(Afectación Económica o presupuestal y Pérdida Reputacional)",J29)</f>
        <v>0</v>
      </c>
      <c r="L29" s="194" t="str">
        <f ca="1">IF(OR(K29='Tabla Impacto'!$C$11,K29='Tabla Impacto'!$D$11),"Leve",IF(OR(K29='Tabla Impacto'!$C$12,K29='Tabla Impacto'!$D$12),"Menor",IF(OR(K29='Tabla Impacto'!$C$13,K29='Tabla Impacto'!$D$13),"Moderado",IF(OR(K29='Tabla Impacto'!$C$14,K29='Tabla Impacto'!$D$14),"Mayor",IF(OR(K29='Tabla Impacto'!$C$15,K29='Tabla Impacto'!$D$15),"Catastrófico","")))))</f>
        <v/>
      </c>
      <c r="M29" s="207" t="str">
        <f ca="1">IF(L29="","",IF(L29="Leve",0.2,IF(L29="Menor",0.4,IF(L29="Moderado",0.6,IF(L29="Mayor",0.8,IF(L29="Catastrófico",1,))))))</f>
        <v/>
      </c>
      <c r="N29" s="204" t="str">
        <f ca="1">IF(OR(AND(H29="Muy Baja",L29="Leve"),AND(H29="Muy Baja",L29="Menor"),AND(H29="Baja",L29="Leve")),"Bajo",IF(OR(AND(H29="Muy baja",L29="Moderado"),AND(H29="Baja",L29="Menor"),AND(H29="Baja",L29="Moderado"),AND(H29="Media",L29="Leve"),AND(H29="Media",L29="Menor"),AND(H29="Media",L29="Moderado"),AND(H29="Alta",L29="Leve"),AND(H29="Alta",L29="Menor")),"Moderado",IF(OR(AND(H29="Muy Baja",L29="Mayor"),AND(H29="Baja",L29="Mayor"),AND(H29="Media",L29="Mayor"),AND(H29="Alta",L29="Moderado"),AND(H29="Alta",L29="Mayor"),AND(H29="Muy Alta",L29="Leve"),AND(H29="Muy Alta",L29="Menor"),AND(H29="Muy Alta",L29="Moderado"),AND(H29="Muy Alta",L29="Mayor")),"Alto",IF(OR(AND(H29="Muy Baja",L29="Catastrófico"),AND(H29="Baja",L29="Catastrófico"),AND(H29="Media",L29="Catastrófico"),AND(H29="Alta",L29="Catastrófico"),AND(H29="Muy Alta",L29="Catastrófico")),"Extremo",""))))</f>
        <v/>
      </c>
      <c r="O29" s="125">
        <v>1</v>
      </c>
      <c r="P29" s="126"/>
      <c r="Q29" s="127" t="str">
        <f>IF(OR(R29="Preventivo",R29="Detectivo"),"Probabilidad",IF(R29="Correctivo","Impacto",""))</f>
        <v/>
      </c>
      <c r="R29" s="128"/>
      <c r="S29" s="128"/>
      <c r="T29" s="129" t="str">
        <f>IF(AND(R29="Preventivo",S29="Automático"),"50%",IF(AND(R29="Preventivo",S29="Manual"),"40%",IF(AND(R29="Detectivo",S29="Automático"),"40%",IF(AND(R29="Detectivo",S29="Manual"),"30%",IF(AND(R29="Correctivo",S29="Automático"),"35%",IF(AND(R29="Correctivo",S29="Manual"),"25%",""))))))</f>
        <v/>
      </c>
      <c r="U29" s="128"/>
      <c r="V29" s="128"/>
      <c r="W29" s="128"/>
      <c r="X29" s="130" t="str">
        <f>IFERROR(IF(Q29="Probabilidad",(I29-(+I29*T29)),IF(Q29="Impacto",I29,"")),"")</f>
        <v/>
      </c>
      <c r="Y29" s="131" t="str">
        <f>IFERROR(IF(X29="","",IF(X29&lt;=0.2,"Muy Baja",IF(X29&lt;=0.4,"Baja",IF(X29&lt;=0.6,"Media",IF(X29&lt;=0.8,"Alta","Muy Alta"))))),"")</f>
        <v/>
      </c>
      <c r="Z29" s="132" t="str">
        <f>+X29</f>
        <v/>
      </c>
      <c r="AA29" s="131" t="str">
        <f>IFERROR(IF(AB29="","",IF(AB29&lt;=0.2,"Leve",IF(AB29&lt;=0.4,"Menor",IF(AB29&lt;=0.6,"Moderado",IF(AB29&lt;=0.8,"Mayor","Catastrófico"))))),"")</f>
        <v/>
      </c>
      <c r="AB29" s="140" t="str">
        <f>IFERROR(IF(Q29="Impacto",(M29-(+M29*T29)),IF(Q29="Probabilidad",M29,"")),"")</f>
        <v/>
      </c>
      <c r="AC29" s="133"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4"/>
      <c r="AE29" s="135"/>
      <c r="AF29" s="136"/>
      <c r="AG29" s="137"/>
      <c r="AH29" s="137"/>
      <c r="AI29" s="135"/>
      <c r="AJ29" s="136"/>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198"/>
      <c r="B30" s="189"/>
      <c r="C30" s="189"/>
      <c r="D30" s="189"/>
      <c r="E30" s="202"/>
      <c r="F30" s="189"/>
      <c r="G30" s="192"/>
      <c r="H30" s="195"/>
      <c r="I30" s="208"/>
      <c r="J30" s="211"/>
      <c r="K30" s="208">
        <f t="shared" ref="K30:K34" ca="1" si="13">IF(NOT(ISERROR(MATCH(J30,_xlfn.ANCHORARRAY(E41),0))),I43&amp;"Por favor no seleccionar los criterios de impacto",J30)</f>
        <v>0</v>
      </c>
      <c r="L30" s="195"/>
      <c r="M30" s="208"/>
      <c r="N30" s="205"/>
      <c r="O30" s="125">
        <v>2</v>
      </c>
      <c r="P30" s="126"/>
      <c r="Q30" s="127" t="str">
        <f>IF(OR(R30="Preventivo",R30="Detectivo"),"Probabilidad",IF(R30="Correctivo","Impacto",""))</f>
        <v/>
      </c>
      <c r="R30" s="128"/>
      <c r="S30" s="128"/>
      <c r="T30" s="129" t="str">
        <f t="shared" ref="T30:T34" si="14">IF(AND(R30="Preventivo",S30="Automático"),"50%",IF(AND(R30="Preventivo",S30="Manual"),"40%",IF(AND(R30="Detectivo",S30="Automático"),"40%",IF(AND(R30="Detectivo",S30="Manual"),"30%",IF(AND(R30="Correctivo",S30="Automático"),"35%",IF(AND(R30="Correctivo",S30="Manual"),"25%",""))))))</f>
        <v/>
      </c>
      <c r="U30" s="128"/>
      <c r="V30" s="128"/>
      <c r="W30" s="128"/>
      <c r="X30" s="130" t="str">
        <f>IFERROR(IF(AND(Q29="Probabilidad",Q30="Probabilidad"),(Z29-(+Z29*T30)),IF(Q30="Probabilidad",(I29-(+I29*T30)),IF(Q30="Impacto",Z29,""))),"")</f>
        <v/>
      </c>
      <c r="Y30" s="131" t="str">
        <f t="shared" si="1"/>
        <v/>
      </c>
      <c r="Z30" s="132" t="str">
        <f t="shared" ref="Z30:Z34" si="15">+X30</f>
        <v/>
      </c>
      <c r="AA30" s="131" t="str">
        <f t="shared" si="3"/>
        <v/>
      </c>
      <c r="AB30" s="140" t="str">
        <f>IFERROR(IF(AND(Q29="Impacto",Q30="Impacto"),(AB29-(+AB29*T30)),IF(Q30="Impacto",(M29-(+M29*T30)),IF(Q30="Probabilidad",AB29,""))),"")</f>
        <v/>
      </c>
      <c r="AC30" s="133" t="str">
        <f t="shared" ref="AC30:AC31" si="16">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137"/>
      <c r="AI30" s="135"/>
      <c r="AJ30" s="136"/>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198"/>
      <c r="B31" s="189"/>
      <c r="C31" s="189"/>
      <c r="D31" s="189"/>
      <c r="E31" s="202"/>
      <c r="F31" s="189"/>
      <c r="G31" s="192"/>
      <c r="H31" s="195"/>
      <c r="I31" s="208"/>
      <c r="J31" s="211"/>
      <c r="K31" s="208">
        <f t="shared" ca="1" si="13"/>
        <v>0</v>
      </c>
      <c r="L31" s="195"/>
      <c r="M31" s="208"/>
      <c r="N31" s="205"/>
      <c r="O31" s="125">
        <v>3</v>
      </c>
      <c r="P31" s="138"/>
      <c r="Q31" s="127" t="str">
        <f>IF(OR(R31="Preventivo",R31="Detectivo"),"Probabilidad",IF(R31="Correctivo","Impacto",""))</f>
        <v/>
      </c>
      <c r="R31" s="128"/>
      <c r="S31" s="128"/>
      <c r="T31" s="129" t="str">
        <f t="shared" si="14"/>
        <v/>
      </c>
      <c r="U31" s="128"/>
      <c r="V31" s="128"/>
      <c r="W31" s="128"/>
      <c r="X31" s="130" t="str">
        <f>IFERROR(IF(AND(Q30="Probabilidad",Q31="Probabilidad"),(Z30-(+Z30*T31)),IF(AND(Q30="Impacto",Q31="Probabilidad"),(Z29-(+Z29*T31)),IF(Q31="Impacto",Z30,""))),"")</f>
        <v/>
      </c>
      <c r="Y31" s="131" t="str">
        <f t="shared" si="1"/>
        <v/>
      </c>
      <c r="Z31" s="132" t="str">
        <f t="shared" si="15"/>
        <v/>
      </c>
      <c r="AA31" s="131" t="str">
        <f t="shared" si="3"/>
        <v/>
      </c>
      <c r="AB31" s="140" t="str">
        <f>IFERROR(IF(AND(Q30="Impacto",Q31="Impacto"),(AB30-(+AB30*T31)),IF(AND(Q30="Probabilidad",Q31="Impacto"),(AB29-(+AB29*T31)),IF(Q31="Probabilidad",AB30,""))),"")</f>
        <v/>
      </c>
      <c r="AC31" s="133" t="str">
        <f t="shared" si="16"/>
        <v/>
      </c>
      <c r="AD31" s="134"/>
      <c r="AE31" s="135"/>
      <c r="AF31" s="136"/>
      <c r="AG31" s="137"/>
      <c r="AH31" s="137"/>
      <c r="AI31" s="135"/>
      <c r="AJ31" s="136"/>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198"/>
      <c r="B32" s="189"/>
      <c r="C32" s="189"/>
      <c r="D32" s="189"/>
      <c r="E32" s="202"/>
      <c r="F32" s="189"/>
      <c r="G32" s="192"/>
      <c r="H32" s="195"/>
      <c r="I32" s="208"/>
      <c r="J32" s="211"/>
      <c r="K32" s="208">
        <f t="shared" ca="1" si="13"/>
        <v>0</v>
      </c>
      <c r="L32" s="195"/>
      <c r="M32" s="208"/>
      <c r="N32" s="205"/>
      <c r="O32" s="125">
        <v>4</v>
      </c>
      <c r="P32" s="126"/>
      <c r="Q32" s="127" t="str">
        <f t="shared" ref="Q32:Q34" si="17">IF(OR(R32="Preventivo",R32="Detectivo"),"Probabilidad",IF(R32="Correctivo","Impacto",""))</f>
        <v/>
      </c>
      <c r="R32" s="128"/>
      <c r="S32" s="128"/>
      <c r="T32" s="129" t="str">
        <f t="shared" si="14"/>
        <v/>
      </c>
      <c r="U32" s="128"/>
      <c r="V32" s="128"/>
      <c r="W32" s="128"/>
      <c r="X32" s="130" t="str">
        <f t="shared" ref="X32:X34" si="18">IFERROR(IF(AND(Q31="Probabilidad",Q32="Probabilidad"),(Z31-(+Z31*T32)),IF(AND(Q31="Impacto",Q32="Probabilidad"),(Z30-(+Z30*T32)),IF(Q32="Impacto",Z31,""))),"")</f>
        <v/>
      </c>
      <c r="Y32" s="131" t="str">
        <f t="shared" si="1"/>
        <v/>
      </c>
      <c r="Z32" s="132" t="str">
        <f t="shared" si="15"/>
        <v/>
      </c>
      <c r="AA32" s="131" t="str">
        <f t="shared" si="3"/>
        <v/>
      </c>
      <c r="AB32" s="140" t="str">
        <f t="shared" ref="AB32:AB34" si="19">IFERROR(IF(AND(Q31="Impacto",Q32="Impacto"),(AB31-(+AB31*T32)),IF(AND(Q31="Probabilidad",Q32="Impacto"),(AB30-(+AB30*T32)),IF(Q32="Probabilidad",AB31,""))),"")</f>
        <v/>
      </c>
      <c r="AC32" s="133"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4"/>
      <c r="AE32" s="135"/>
      <c r="AF32" s="136"/>
      <c r="AG32" s="137"/>
      <c r="AH32" s="137"/>
      <c r="AI32" s="135"/>
      <c r="AJ32" s="136"/>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198"/>
      <c r="B33" s="189"/>
      <c r="C33" s="189"/>
      <c r="D33" s="189"/>
      <c r="E33" s="202"/>
      <c r="F33" s="189"/>
      <c r="G33" s="192"/>
      <c r="H33" s="195"/>
      <c r="I33" s="208"/>
      <c r="J33" s="211"/>
      <c r="K33" s="208">
        <f t="shared" ca="1" si="13"/>
        <v>0</v>
      </c>
      <c r="L33" s="195"/>
      <c r="M33" s="208"/>
      <c r="N33" s="205"/>
      <c r="O33" s="125">
        <v>5</v>
      </c>
      <c r="P33" s="126"/>
      <c r="Q33" s="127" t="str">
        <f t="shared" si="17"/>
        <v/>
      </c>
      <c r="R33" s="128"/>
      <c r="S33" s="128"/>
      <c r="T33" s="129" t="str">
        <f t="shared" si="14"/>
        <v/>
      </c>
      <c r="U33" s="128"/>
      <c r="V33" s="128"/>
      <c r="W33" s="128"/>
      <c r="X33" s="130" t="str">
        <f t="shared" si="18"/>
        <v/>
      </c>
      <c r="Y33" s="131" t="str">
        <f t="shared" si="1"/>
        <v/>
      </c>
      <c r="Z33" s="132" t="str">
        <f t="shared" si="15"/>
        <v/>
      </c>
      <c r="AA33" s="131" t="str">
        <f t="shared" si="3"/>
        <v/>
      </c>
      <c r="AB33" s="140" t="str">
        <f t="shared" si="19"/>
        <v/>
      </c>
      <c r="AC33" s="133" t="str">
        <f t="shared" ref="AC33:AC34" si="20">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137"/>
      <c r="AI33" s="135"/>
      <c r="AJ33" s="136"/>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199"/>
      <c r="B34" s="190"/>
      <c r="C34" s="190"/>
      <c r="D34" s="190"/>
      <c r="E34" s="203"/>
      <c r="F34" s="190"/>
      <c r="G34" s="193"/>
      <c r="H34" s="196"/>
      <c r="I34" s="209"/>
      <c r="J34" s="212"/>
      <c r="K34" s="209">
        <f t="shared" ca="1" si="13"/>
        <v>0</v>
      </c>
      <c r="L34" s="196"/>
      <c r="M34" s="209"/>
      <c r="N34" s="206"/>
      <c r="O34" s="125">
        <v>6</v>
      </c>
      <c r="P34" s="126"/>
      <c r="Q34" s="127" t="str">
        <f t="shared" si="17"/>
        <v/>
      </c>
      <c r="R34" s="128"/>
      <c r="S34" s="128"/>
      <c r="T34" s="129" t="str">
        <f t="shared" si="14"/>
        <v/>
      </c>
      <c r="U34" s="128"/>
      <c r="V34" s="128"/>
      <c r="W34" s="128"/>
      <c r="X34" s="130" t="str">
        <f t="shared" si="18"/>
        <v/>
      </c>
      <c r="Y34" s="131" t="str">
        <f t="shared" si="1"/>
        <v/>
      </c>
      <c r="Z34" s="132" t="str">
        <f t="shared" si="15"/>
        <v/>
      </c>
      <c r="AA34" s="131" t="str">
        <f t="shared" si="3"/>
        <v/>
      </c>
      <c r="AB34" s="140" t="str">
        <f t="shared" si="19"/>
        <v/>
      </c>
      <c r="AC34" s="133" t="str">
        <f t="shared" si="20"/>
        <v/>
      </c>
      <c r="AD34" s="134"/>
      <c r="AE34" s="135"/>
      <c r="AF34" s="136"/>
      <c r="AG34" s="137"/>
      <c r="AH34" s="137"/>
      <c r="AI34" s="135"/>
      <c r="AJ34" s="136"/>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197">
        <v>6</v>
      </c>
      <c r="B35" s="188"/>
      <c r="C35" s="188"/>
      <c r="D35" s="188"/>
      <c r="E35" s="213"/>
      <c r="F35" s="188"/>
      <c r="G35" s="191"/>
      <c r="H35" s="194" t="str">
        <f>IF(G35&lt;=0,"",IF(G35&lt;=2,"Muy Baja",IF(G35&lt;=24,"Baja",IF(G35&lt;=500,"Media",IF(G35&lt;=5000,"Alta","Muy Alta")))))</f>
        <v/>
      </c>
      <c r="I35" s="207" t="str">
        <f>IF(H35="","",IF(H35="Muy Baja",0.2,IF(H35="Baja",0.4,IF(H35="Media",0.6,IF(H35="Alta",0.8,IF(H35="Muy Alta",1,))))))</f>
        <v/>
      </c>
      <c r="J35" s="210"/>
      <c r="K35" s="207">
        <f ca="1">IF(NOT(ISERROR(MATCH(J35,'Tabla Impacto'!$B$221:$B$223,0))),'Tabla Impacto'!$F$223&amp;"Por favor no seleccionar los criterios de impacto(Afectación Económica o presupuestal y Pérdida Reputacional)",J35)</f>
        <v>0</v>
      </c>
      <c r="L35" s="194" t="str">
        <f ca="1">IF(OR(K35='Tabla Impacto'!$C$11,K35='Tabla Impacto'!$D$11),"Leve",IF(OR(K35='Tabla Impacto'!$C$12,K35='Tabla Impacto'!$D$12),"Menor",IF(OR(K35='Tabla Impacto'!$C$13,K35='Tabla Impacto'!$D$13),"Moderado",IF(OR(K35='Tabla Impacto'!$C$14,K35='Tabla Impacto'!$D$14),"Mayor",IF(OR(K35='Tabla Impacto'!$C$15,K35='Tabla Impacto'!$D$15),"Catastrófico","")))))</f>
        <v/>
      </c>
      <c r="M35" s="207" t="str">
        <f ca="1">IF(L35="","",IF(L35="Leve",0.2,IF(L35="Menor",0.4,IF(L35="Moderado",0.6,IF(L35="Mayor",0.8,IF(L35="Catastrófico",1,))))))</f>
        <v/>
      </c>
      <c r="N35" s="204" t="str">
        <f ca="1">IF(OR(AND(H35="Muy Baja",L35="Leve"),AND(H35="Muy Baja",L35="Menor"),AND(H35="Baja",L35="Leve")),"Bajo",IF(OR(AND(H35="Muy baja",L35="Moderado"),AND(H35="Baja",L35="Menor"),AND(H35="Baja",L35="Moderado"),AND(H35="Media",L35="Leve"),AND(H35="Media",L35="Menor"),AND(H35="Media",L35="Moderado"),AND(H35="Alta",L35="Leve"),AND(H35="Alta",L35="Menor")),"Moderado",IF(OR(AND(H35="Muy Baja",L35="Mayor"),AND(H35="Baja",L35="Mayor"),AND(H35="Media",L35="Mayor"),AND(H35="Alta",L35="Moderado"),AND(H35="Alta",L35="Mayor"),AND(H35="Muy Alta",L35="Leve"),AND(H35="Muy Alta",L35="Menor"),AND(H35="Muy Alta",L35="Moderado"),AND(H35="Muy Alta",L35="Mayor")),"Alto",IF(OR(AND(H35="Muy Baja",L35="Catastrófico"),AND(H35="Baja",L35="Catastrófico"),AND(H35="Media",L35="Catastrófico"),AND(H35="Alta",L35="Catastrófico"),AND(H35="Muy Alta",L35="Catastrófico")),"Extremo",""))))</f>
        <v/>
      </c>
      <c r="O35" s="125">
        <v>1</v>
      </c>
      <c r="P35" s="126"/>
      <c r="Q35" s="127" t="str">
        <f>IF(OR(R35="Preventivo",R35="Detectivo"),"Probabilidad",IF(R35="Correctivo","Impacto",""))</f>
        <v/>
      </c>
      <c r="R35" s="128"/>
      <c r="S35" s="128"/>
      <c r="T35" s="129" t="str">
        <f>IF(AND(R35="Preventivo",S35="Automático"),"50%",IF(AND(R35="Preventivo",S35="Manual"),"40%",IF(AND(R35="Detectivo",S35="Automático"),"40%",IF(AND(R35="Detectivo",S35="Manual"),"30%",IF(AND(R35="Correctivo",S35="Automático"),"35%",IF(AND(R35="Correctivo",S35="Manual"),"25%",""))))))</f>
        <v/>
      </c>
      <c r="U35" s="128"/>
      <c r="V35" s="128"/>
      <c r="W35" s="128"/>
      <c r="X35" s="130" t="str">
        <f>IFERROR(IF(Q35="Probabilidad",(I35-(+I35*T35)),IF(Q35="Impacto",I35,"")),"")</f>
        <v/>
      </c>
      <c r="Y35" s="131" t="str">
        <f>IFERROR(IF(X35="","",IF(X35&lt;=0.2,"Muy Baja",IF(X35&lt;=0.4,"Baja",IF(X35&lt;=0.6,"Media",IF(X35&lt;=0.8,"Alta","Muy Alta"))))),"")</f>
        <v/>
      </c>
      <c r="Z35" s="132" t="str">
        <f>+X35</f>
        <v/>
      </c>
      <c r="AA35" s="131" t="str">
        <f>IFERROR(IF(AB35="","",IF(AB35&lt;=0.2,"Leve",IF(AB35&lt;=0.4,"Menor",IF(AB35&lt;=0.6,"Moderado",IF(AB35&lt;=0.8,"Mayor","Catastrófico"))))),"")</f>
        <v/>
      </c>
      <c r="AB35" s="140" t="str">
        <f>IFERROR(IF(Q35="Impacto",(M35-(+M35*T35)),IF(Q35="Probabilidad",M35,"")),"")</f>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137"/>
      <c r="AI35" s="135"/>
      <c r="AJ35" s="136"/>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5">
      <c r="A36" s="198"/>
      <c r="B36" s="189"/>
      <c r="C36" s="189"/>
      <c r="D36" s="189"/>
      <c r="E36" s="202"/>
      <c r="F36" s="189"/>
      <c r="G36" s="192"/>
      <c r="H36" s="195"/>
      <c r="I36" s="208"/>
      <c r="J36" s="211"/>
      <c r="K36" s="208">
        <f t="shared" ref="K36:K40" ca="1" si="21">IF(NOT(ISERROR(MATCH(J36,_xlfn.ANCHORARRAY(E47),0))),I49&amp;"Por favor no seleccionar los criterios de impacto",J36)</f>
        <v>0</v>
      </c>
      <c r="L36" s="195"/>
      <c r="M36" s="208"/>
      <c r="N36" s="205"/>
      <c r="O36" s="125">
        <v>2</v>
      </c>
      <c r="P36" s="126"/>
      <c r="Q36" s="127" t="str">
        <f>IF(OR(R36="Preventivo",R36="Detectivo"),"Probabilidad",IF(R36="Correctivo","Impacto",""))</f>
        <v/>
      </c>
      <c r="R36" s="128"/>
      <c r="S36" s="128"/>
      <c r="T36" s="129" t="str">
        <f t="shared" ref="T36:T40" si="22">IF(AND(R36="Preventivo",S36="Automático"),"50%",IF(AND(R36="Preventivo",S36="Manual"),"40%",IF(AND(R36="Detectivo",S36="Automático"),"40%",IF(AND(R36="Detectivo",S36="Manual"),"30%",IF(AND(R36="Correctivo",S36="Automático"),"35%",IF(AND(R36="Correctivo",S36="Manual"),"25%",""))))))</f>
        <v/>
      </c>
      <c r="U36" s="128"/>
      <c r="V36" s="128"/>
      <c r="W36" s="128"/>
      <c r="X36" s="130" t="str">
        <f>IFERROR(IF(AND(Q35="Probabilidad",Q36="Probabilidad"),(Z35-(+Z35*T36)),IF(Q36="Probabilidad",(I35-(+I35*T36)),IF(Q36="Impacto",Z35,""))),"")</f>
        <v/>
      </c>
      <c r="Y36" s="131" t="str">
        <f t="shared" si="1"/>
        <v/>
      </c>
      <c r="Z36" s="132" t="str">
        <f t="shared" ref="Z36:Z40" si="23">+X36</f>
        <v/>
      </c>
      <c r="AA36" s="131" t="str">
        <f t="shared" si="3"/>
        <v/>
      </c>
      <c r="AB36" s="140" t="str">
        <f>IFERROR(IF(AND(Q35="Impacto",Q36="Impacto"),(AB35-(+AB35*T36)),IF(Q36="Impacto",(M35-(+M35*T36)),IF(Q36="Probabilidad",AB35,""))),"")</f>
        <v/>
      </c>
      <c r="AC36" s="133" t="str">
        <f t="shared" ref="AC36:AC37" si="24">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137"/>
      <c r="AI36" s="135"/>
      <c r="AJ36" s="136"/>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5">
      <c r="A37" s="198"/>
      <c r="B37" s="189"/>
      <c r="C37" s="189"/>
      <c r="D37" s="189"/>
      <c r="E37" s="202"/>
      <c r="F37" s="189"/>
      <c r="G37" s="192"/>
      <c r="H37" s="195"/>
      <c r="I37" s="208"/>
      <c r="J37" s="211"/>
      <c r="K37" s="208">
        <f t="shared" ca="1" si="21"/>
        <v>0</v>
      </c>
      <c r="L37" s="195"/>
      <c r="M37" s="208"/>
      <c r="N37" s="205"/>
      <c r="O37" s="125">
        <v>3</v>
      </c>
      <c r="P37" s="138"/>
      <c r="Q37" s="127" t="str">
        <f>IF(OR(R37="Preventivo",R37="Detectivo"),"Probabilidad",IF(R37="Correctivo","Impacto",""))</f>
        <v/>
      </c>
      <c r="R37" s="128"/>
      <c r="S37" s="128"/>
      <c r="T37" s="129" t="str">
        <f t="shared" si="22"/>
        <v/>
      </c>
      <c r="U37" s="128"/>
      <c r="V37" s="128"/>
      <c r="W37" s="128"/>
      <c r="X37" s="130" t="str">
        <f>IFERROR(IF(AND(Q36="Probabilidad",Q37="Probabilidad"),(Z36-(+Z36*T37)),IF(AND(Q36="Impacto",Q37="Probabilidad"),(Z35-(+Z35*T37)),IF(Q37="Impacto",Z36,""))),"")</f>
        <v/>
      </c>
      <c r="Y37" s="131" t="str">
        <f t="shared" si="1"/>
        <v/>
      </c>
      <c r="Z37" s="132" t="str">
        <f t="shared" si="23"/>
        <v/>
      </c>
      <c r="AA37" s="131" t="str">
        <f t="shared" si="3"/>
        <v/>
      </c>
      <c r="AB37" s="140" t="str">
        <f>IFERROR(IF(AND(Q36="Impacto",Q37="Impacto"),(AB36-(+AB36*T37)),IF(AND(Q36="Probabilidad",Q37="Impacto"),(AB35-(+AB35*T37)),IF(Q37="Probabilidad",AB36,""))),"")</f>
        <v/>
      </c>
      <c r="AC37" s="133" t="str">
        <f t="shared" si="24"/>
        <v/>
      </c>
      <c r="AD37" s="134"/>
      <c r="AE37" s="135"/>
      <c r="AF37" s="136"/>
      <c r="AG37" s="137"/>
      <c r="AH37" s="137"/>
      <c r="AI37" s="135"/>
      <c r="AJ37" s="136"/>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5">
      <c r="A38" s="198"/>
      <c r="B38" s="189"/>
      <c r="C38" s="189"/>
      <c r="D38" s="189"/>
      <c r="E38" s="202"/>
      <c r="F38" s="189"/>
      <c r="G38" s="192"/>
      <c r="H38" s="195"/>
      <c r="I38" s="208"/>
      <c r="J38" s="211"/>
      <c r="K38" s="208">
        <f t="shared" ca="1" si="21"/>
        <v>0</v>
      </c>
      <c r="L38" s="195"/>
      <c r="M38" s="208"/>
      <c r="N38" s="205"/>
      <c r="O38" s="125">
        <v>4</v>
      </c>
      <c r="P38" s="126"/>
      <c r="Q38" s="127" t="str">
        <f t="shared" ref="Q38:Q40" si="25">IF(OR(R38="Preventivo",R38="Detectivo"),"Probabilidad",IF(R38="Correctivo","Impacto",""))</f>
        <v/>
      </c>
      <c r="R38" s="128"/>
      <c r="S38" s="128"/>
      <c r="T38" s="129" t="str">
        <f t="shared" si="22"/>
        <v/>
      </c>
      <c r="U38" s="128"/>
      <c r="V38" s="128"/>
      <c r="W38" s="128"/>
      <c r="X38" s="130" t="str">
        <f t="shared" ref="X38:X40" si="26">IFERROR(IF(AND(Q37="Probabilidad",Q38="Probabilidad"),(Z37-(+Z37*T38)),IF(AND(Q37="Impacto",Q38="Probabilidad"),(Z36-(+Z36*T38)),IF(Q38="Impacto",Z37,""))),"")</f>
        <v/>
      </c>
      <c r="Y38" s="131" t="str">
        <f t="shared" si="1"/>
        <v/>
      </c>
      <c r="Z38" s="132" t="str">
        <f t="shared" si="23"/>
        <v/>
      </c>
      <c r="AA38" s="131" t="str">
        <f t="shared" si="3"/>
        <v/>
      </c>
      <c r="AB38" s="140" t="str">
        <f t="shared" ref="AB38:AB40" si="27">IFERROR(IF(AND(Q37="Impacto",Q38="Impacto"),(AB37-(+AB37*T38)),IF(AND(Q37="Probabilidad",Q38="Impacto"),(AB36-(+AB36*T38)),IF(Q38="Probabilidad",AB37,""))),"")</f>
        <v/>
      </c>
      <c r="AC38" s="133"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4"/>
      <c r="AE38" s="135"/>
      <c r="AF38" s="136"/>
      <c r="AG38" s="137"/>
      <c r="AH38" s="137"/>
      <c r="AI38" s="135"/>
      <c r="AJ38" s="136"/>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5">
      <c r="A39" s="198"/>
      <c r="B39" s="189"/>
      <c r="C39" s="189"/>
      <c r="D39" s="189"/>
      <c r="E39" s="202"/>
      <c r="F39" s="189"/>
      <c r="G39" s="192"/>
      <c r="H39" s="195"/>
      <c r="I39" s="208"/>
      <c r="J39" s="211"/>
      <c r="K39" s="208">
        <f t="shared" ca="1" si="21"/>
        <v>0</v>
      </c>
      <c r="L39" s="195"/>
      <c r="M39" s="208"/>
      <c r="N39" s="205"/>
      <c r="O39" s="125">
        <v>5</v>
      </c>
      <c r="P39" s="126"/>
      <c r="Q39" s="127" t="str">
        <f t="shared" si="25"/>
        <v/>
      </c>
      <c r="R39" s="128"/>
      <c r="S39" s="128"/>
      <c r="T39" s="129" t="str">
        <f t="shared" si="22"/>
        <v/>
      </c>
      <c r="U39" s="128"/>
      <c r="V39" s="128"/>
      <c r="W39" s="128"/>
      <c r="X39" s="130" t="str">
        <f t="shared" si="26"/>
        <v/>
      </c>
      <c r="Y39" s="131" t="str">
        <f t="shared" si="1"/>
        <v/>
      </c>
      <c r="Z39" s="132" t="str">
        <f t="shared" si="23"/>
        <v/>
      </c>
      <c r="AA39" s="131" t="str">
        <f t="shared" si="3"/>
        <v/>
      </c>
      <c r="AB39" s="140" t="str">
        <f t="shared" si="27"/>
        <v/>
      </c>
      <c r="AC39" s="133" t="str">
        <f t="shared" ref="AC39" si="28">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137"/>
      <c r="AI39" s="135"/>
      <c r="AJ39" s="136"/>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5">
      <c r="A40" s="199"/>
      <c r="B40" s="190"/>
      <c r="C40" s="190"/>
      <c r="D40" s="190"/>
      <c r="E40" s="203"/>
      <c r="F40" s="190"/>
      <c r="G40" s="193"/>
      <c r="H40" s="196"/>
      <c r="I40" s="209"/>
      <c r="J40" s="212"/>
      <c r="K40" s="209">
        <f t="shared" ca="1" si="21"/>
        <v>0</v>
      </c>
      <c r="L40" s="196"/>
      <c r="M40" s="209"/>
      <c r="N40" s="206"/>
      <c r="O40" s="125">
        <v>6</v>
      </c>
      <c r="P40" s="126"/>
      <c r="Q40" s="127" t="str">
        <f t="shared" si="25"/>
        <v/>
      </c>
      <c r="R40" s="128"/>
      <c r="S40" s="128"/>
      <c r="T40" s="129" t="str">
        <f t="shared" si="22"/>
        <v/>
      </c>
      <c r="U40" s="128"/>
      <c r="V40" s="128"/>
      <c r="W40" s="128"/>
      <c r="X40" s="130" t="str">
        <f t="shared" si="26"/>
        <v/>
      </c>
      <c r="Y40" s="131" t="str">
        <f t="shared" si="1"/>
        <v/>
      </c>
      <c r="Z40" s="132" t="str">
        <f t="shared" si="23"/>
        <v/>
      </c>
      <c r="AA40" s="131" t="str">
        <f>IFERROR(IF(AB40="","",IF(AB40&lt;=0.2,"Leve",IF(AB40&lt;=0.4,"Menor",IF(AB40&lt;=0.6,"Moderado",IF(AB40&lt;=0.8,"Mayor","Catastrófico"))))),"")</f>
        <v/>
      </c>
      <c r="AB40" s="140" t="str">
        <f t="shared" si="27"/>
        <v/>
      </c>
      <c r="AC40" s="133"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137"/>
      <c r="AI40" s="135"/>
      <c r="AJ40" s="136"/>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5">
      <c r="A41" s="197">
        <v>7</v>
      </c>
      <c r="B41" s="188"/>
      <c r="C41" s="188"/>
      <c r="D41" s="188"/>
      <c r="E41" s="213"/>
      <c r="F41" s="188"/>
      <c r="G41" s="191"/>
      <c r="H41" s="194" t="str">
        <f>IF(G41&lt;=0,"",IF(G41&lt;=2,"Muy Baja",IF(G41&lt;=24,"Baja",IF(G41&lt;=500,"Media",IF(G41&lt;=5000,"Alta","Muy Alta")))))</f>
        <v/>
      </c>
      <c r="I41" s="207" t="str">
        <f>IF(H41="","",IF(H41="Muy Baja",0.2,IF(H41="Baja",0.4,IF(H41="Media",0.6,IF(H41="Alta",0.8,IF(H41="Muy Alta",1,))))))</f>
        <v/>
      </c>
      <c r="J41" s="210"/>
      <c r="K41" s="207">
        <f ca="1">IF(NOT(ISERROR(MATCH(J41,'Tabla Impacto'!$B$221:$B$223,0))),'Tabla Impacto'!$F$223&amp;"Por favor no seleccionar los criterios de impacto(Afectación Económica o presupuestal y Pérdida Reputacional)",J41)</f>
        <v>0</v>
      </c>
      <c r="L41" s="194" t="str">
        <f ca="1">IF(OR(K41='Tabla Impacto'!$C$11,K41='Tabla Impacto'!$D$11),"Leve",IF(OR(K41='Tabla Impacto'!$C$12,K41='Tabla Impacto'!$D$12),"Menor",IF(OR(K41='Tabla Impacto'!$C$13,K41='Tabla Impacto'!$D$13),"Moderado",IF(OR(K41='Tabla Impacto'!$C$14,K41='Tabla Impacto'!$D$14),"Mayor",IF(OR(K41='Tabla Impacto'!$C$15,K41='Tabla Impacto'!$D$15),"Catastrófico","")))))</f>
        <v/>
      </c>
      <c r="M41" s="207" t="str">
        <f ca="1">IF(L41="","",IF(L41="Leve",0.2,IF(L41="Menor",0.4,IF(L41="Moderado",0.6,IF(L41="Mayor",0.8,IF(L41="Catastrófico",1,))))))</f>
        <v/>
      </c>
      <c r="N41" s="204" t="str">
        <f ca="1">IF(OR(AND(H41="Muy Baja",L41="Leve"),AND(H41="Muy Baja",L41="Menor"),AND(H41="Baja",L41="Leve")),"Bajo",IF(OR(AND(H41="Muy baja",L41="Moderado"),AND(H41="Baja",L41="Menor"),AND(H41="Baja",L41="Moderado"),AND(H41="Media",L41="Leve"),AND(H41="Media",L41="Menor"),AND(H41="Media",L41="Moderado"),AND(H41="Alta",L41="Leve"),AND(H41="Alta",L41="Menor")),"Moderado",IF(OR(AND(H41="Muy Baja",L41="Mayor"),AND(H41="Baja",L41="Mayor"),AND(H41="Media",L41="Mayor"),AND(H41="Alta",L41="Moderado"),AND(H41="Alta",L41="Mayor"),AND(H41="Muy Alta",L41="Leve"),AND(H41="Muy Alta",L41="Menor"),AND(H41="Muy Alta",L41="Moderado"),AND(H41="Muy Alta",L41="Mayor")),"Alto",IF(OR(AND(H41="Muy Baja",L41="Catastrófico"),AND(H41="Baja",L41="Catastrófico"),AND(H41="Media",L41="Catastrófico"),AND(H41="Alta",L41="Catastrófico"),AND(H41="Muy Alta",L41="Catastrófico")),"Extremo",""))))</f>
        <v/>
      </c>
      <c r="O41" s="125">
        <v>1</v>
      </c>
      <c r="P41" s="126"/>
      <c r="Q41" s="127" t="str">
        <f>IF(OR(R41="Preventivo",R41="Detectivo"),"Probabilidad",IF(R41="Correctivo","Impacto",""))</f>
        <v/>
      </c>
      <c r="R41" s="128"/>
      <c r="S41" s="128"/>
      <c r="T41" s="129" t="str">
        <f>IF(AND(R41="Preventivo",S41="Automático"),"50%",IF(AND(R41="Preventivo",S41="Manual"),"40%",IF(AND(R41="Detectivo",S41="Automático"),"40%",IF(AND(R41="Detectivo",S41="Manual"),"30%",IF(AND(R41="Correctivo",S41="Automático"),"35%",IF(AND(R41="Correctivo",S41="Manual"),"25%",""))))))</f>
        <v/>
      </c>
      <c r="U41" s="128"/>
      <c r="V41" s="128"/>
      <c r="W41" s="128"/>
      <c r="X41" s="130" t="str">
        <f>IFERROR(IF(Q41="Probabilidad",(I41-(+I41*T41)),IF(Q41="Impacto",I41,"")),"")</f>
        <v/>
      </c>
      <c r="Y41" s="131" t="str">
        <f>IFERROR(IF(X41="","",IF(X41&lt;=0.2,"Muy Baja",IF(X41&lt;=0.4,"Baja",IF(X41&lt;=0.6,"Media",IF(X41&lt;=0.8,"Alta","Muy Alta"))))),"")</f>
        <v/>
      </c>
      <c r="Z41" s="132" t="str">
        <f>+X41</f>
        <v/>
      </c>
      <c r="AA41" s="131" t="str">
        <f>IFERROR(IF(AB41="","",IF(AB41&lt;=0.2,"Leve",IF(AB41&lt;=0.4,"Menor",IF(AB41&lt;=0.6,"Moderado",IF(AB41&lt;=0.8,"Mayor","Catastrófico"))))),"")</f>
        <v/>
      </c>
      <c r="AB41" s="140" t="str">
        <f>IFERROR(IF(Q41="Impacto",(M41-(+M41*T41)),IF(Q41="Probabilidad",M41,"")),"")</f>
        <v/>
      </c>
      <c r="AC41" s="133"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4"/>
      <c r="AE41" s="135"/>
      <c r="AF41" s="136"/>
      <c r="AG41" s="137"/>
      <c r="AH41" s="137"/>
      <c r="AI41" s="135"/>
      <c r="AJ41" s="136"/>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5">
      <c r="A42" s="198"/>
      <c r="B42" s="189"/>
      <c r="C42" s="189"/>
      <c r="D42" s="189"/>
      <c r="E42" s="202"/>
      <c r="F42" s="189"/>
      <c r="G42" s="192"/>
      <c r="H42" s="195"/>
      <c r="I42" s="208"/>
      <c r="J42" s="211"/>
      <c r="K42" s="208">
        <f t="shared" ref="K42:K46" ca="1" si="29">IF(NOT(ISERROR(MATCH(J42,_xlfn.ANCHORARRAY(E53),0))),I55&amp;"Por favor no seleccionar los criterios de impacto",J42)</f>
        <v>0</v>
      </c>
      <c r="L42" s="195"/>
      <c r="M42" s="208"/>
      <c r="N42" s="205"/>
      <c r="O42" s="125">
        <v>2</v>
      </c>
      <c r="P42" s="126"/>
      <c r="Q42" s="127" t="str">
        <f>IF(OR(R42="Preventivo",R42="Detectivo"),"Probabilidad",IF(R42="Correctivo","Impacto",""))</f>
        <v/>
      </c>
      <c r="R42" s="128"/>
      <c r="S42" s="128"/>
      <c r="T42" s="129" t="str">
        <f t="shared" ref="T42:T46" si="30">IF(AND(R42="Preventivo",S42="Automático"),"50%",IF(AND(R42="Preventivo",S42="Manual"),"40%",IF(AND(R42="Detectivo",S42="Automático"),"40%",IF(AND(R42="Detectivo",S42="Manual"),"30%",IF(AND(R42="Correctivo",S42="Automático"),"35%",IF(AND(R42="Correctivo",S42="Manual"),"25%",""))))))</f>
        <v/>
      </c>
      <c r="U42" s="128"/>
      <c r="V42" s="128"/>
      <c r="W42" s="128"/>
      <c r="X42" s="130" t="str">
        <f>IFERROR(IF(AND(Q41="Probabilidad",Q42="Probabilidad"),(Z41-(+Z41*T42)),IF(Q42="Probabilidad",(I41-(+I41*T42)),IF(Q42="Impacto",Z41,""))),"")</f>
        <v/>
      </c>
      <c r="Y42" s="131" t="str">
        <f t="shared" si="1"/>
        <v/>
      </c>
      <c r="Z42" s="132" t="str">
        <f t="shared" ref="Z42:Z46" si="31">+X42</f>
        <v/>
      </c>
      <c r="AA42" s="131" t="str">
        <f t="shared" si="3"/>
        <v/>
      </c>
      <c r="AB42" s="140" t="str">
        <f>IFERROR(IF(AND(Q41="Impacto",Q42="Impacto"),(AB41-(+AB41*T42)),IF(Q42="Impacto",(M41-(+M41*T42)),IF(Q42="Probabilidad",AB41,""))),"")</f>
        <v/>
      </c>
      <c r="AC42" s="133" t="str">
        <f t="shared" ref="AC42:AC43" si="32">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137"/>
      <c r="AI42" s="135"/>
      <c r="AJ42" s="136"/>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5">
      <c r="A43" s="198"/>
      <c r="B43" s="189"/>
      <c r="C43" s="189"/>
      <c r="D43" s="189"/>
      <c r="E43" s="202"/>
      <c r="F43" s="189"/>
      <c r="G43" s="192"/>
      <c r="H43" s="195"/>
      <c r="I43" s="208"/>
      <c r="J43" s="211"/>
      <c r="K43" s="208">
        <f t="shared" ca="1" si="29"/>
        <v>0</v>
      </c>
      <c r="L43" s="195"/>
      <c r="M43" s="208"/>
      <c r="N43" s="205"/>
      <c r="O43" s="125">
        <v>3</v>
      </c>
      <c r="P43" s="138"/>
      <c r="Q43" s="127" t="str">
        <f>IF(OR(R43="Preventivo",R43="Detectivo"),"Probabilidad",IF(R43="Correctivo","Impacto",""))</f>
        <v/>
      </c>
      <c r="R43" s="128"/>
      <c r="S43" s="128"/>
      <c r="T43" s="129" t="str">
        <f t="shared" si="30"/>
        <v/>
      </c>
      <c r="U43" s="128"/>
      <c r="V43" s="128"/>
      <c r="W43" s="128"/>
      <c r="X43" s="130" t="str">
        <f>IFERROR(IF(AND(Q42="Probabilidad",Q43="Probabilidad"),(Z42-(+Z42*T43)),IF(AND(Q42="Impacto",Q43="Probabilidad"),(Z41-(+Z41*T43)),IF(Q43="Impacto",Z42,""))),"")</f>
        <v/>
      </c>
      <c r="Y43" s="131" t="str">
        <f t="shared" si="1"/>
        <v/>
      </c>
      <c r="Z43" s="132" t="str">
        <f t="shared" si="31"/>
        <v/>
      </c>
      <c r="AA43" s="131" t="str">
        <f t="shared" si="3"/>
        <v/>
      </c>
      <c r="AB43" s="140" t="str">
        <f>IFERROR(IF(AND(Q42="Impacto",Q43="Impacto"),(AB42-(+AB42*T43)),IF(AND(Q42="Probabilidad",Q43="Impacto"),(AB41-(+AB41*T43)),IF(Q43="Probabilidad",AB42,""))),"")</f>
        <v/>
      </c>
      <c r="AC43" s="133" t="str">
        <f t="shared" si="32"/>
        <v/>
      </c>
      <c r="AD43" s="134"/>
      <c r="AE43" s="135"/>
      <c r="AF43" s="136"/>
      <c r="AG43" s="137"/>
      <c r="AH43" s="137"/>
      <c r="AI43" s="135"/>
      <c r="AJ43" s="136"/>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5">
      <c r="A44" s="198"/>
      <c r="B44" s="189"/>
      <c r="C44" s="189"/>
      <c r="D44" s="189"/>
      <c r="E44" s="202"/>
      <c r="F44" s="189"/>
      <c r="G44" s="192"/>
      <c r="H44" s="195"/>
      <c r="I44" s="208"/>
      <c r="J44" s="211"/>
      <c r="K44" s="208">
        <f t="shared" ca="1" si="29"/>
        <v>0</v>
      </c>
      <c r="L44" s="195"/>
      <c r="M44" s="208"/>
      <c r="N44" s="205"/>
      <c r="O44" s="125">
        <v>4</v>
      </c>
      <c r="P44" s="126"/>
      <c r="Q44" s="127" t="str">
        <f t="shared" ref="Q44:Q46" si="33">IF(OR(R44="Preventivo",R44="Detectivo"),"Probabilidad",IF(R44="Correctivo","Impacto",""))</f>
        <v/>
      </c>
      <c r="R44" s="128"/>
      <c r="S44" s="128"/>
      <c r="T44" s="129" t="str">
        <f t="shared" si="30"/>
        <v/>
      </c>
      <c r="U44" s="128"/>
      <c r="V44" s="128"/>
      <c r="W44" s="128"/>
      <c r="X44" s="130" t="str">
        <f t="shared" ref="X44:X46" si="34">IFERROR(IF(AND(Q43="Probabilidad",Q44="Probabilidad"),(Z43-(+Z43*T44)),IF(AND(Q43="Impacto",Q44="Probabilidad"),(Z42-(+Z42*T44)),IF(Q44="Impacto",Z43,""))),"")</f>
        <v/>
      </c>
      <c r="Y44" s="131" t="str">
        <f t="shared" si="1"/>
        <v/>
      </c>
      <c r="Z44" s="132" t="str">
        <f t="shared" si="31"/>
        <v/>
      </c>
      <c r="AA44" s="131" t="str">
        <f t="shared" si="3"/>
        <v/>
      </c>
      <c r="AB44" s="140" t="str">
        <f t="shared" ref="AB44:AB46" si="35">IFERROR(IF(AND(Q43="Impacto",Q44="Impacto"),(AB43-(+AB43*T44)),IF(AND(Q43="Probabilidad",Q44="Impacto"),(AB42-(+AB42*T44)),IF(Q44="Probabilidad",AB43,""))),"")</f>
        <v/>
      </c>
      <c r="AC44" s="133"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4"/>
      <c r="AE44" s="135"/>
      <c r="AF44" s="136"/>
      <c r="AG44" s="137"/>
      <c r="AH44" s="137"/>
      <c r="AI44" s="135"/>
      <c r="AJ44" s="136"/>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5">
      <c r="A45" s="198"/>
      <c r="B45" s="189"/>
      <c r="C45" s="189"/>
      <c r="D45" s="189"/>
      <c r="E45" s="202"/>
      <c r="F45" s="189"/>
      <c r="G45" s="192"/>
      <c r="H45" s="195"/>
      <c r="I45" s="208"/>
      <c r="J45" s="211"/>
      <c r="K45" s="208">
        <f t="shared" ca="1" si="29"/>
        <v>0</v>
      </c>
      <c r="L45" s="195"/>
      <c r="M45" s="208"/>
      <c r="N45" s="205"/>
      <c r="O45" s="125">
        <v>5</v>
      </c>
      <c r="P45" s="126"/>
      <c r="Q45" s="127" t="str">
        <f t="shared" si="33"/>
        <v/>
      </c>
      <c r="R45" s="128"/>
      <c r="S45" s="128"/>
      <c r="T45" s="129" t="str">
        <f t="shared" si="30"/>
        <v/>
      </c>
      <c r="U45" s="128"/>
      <c r="V45" s="128"/>
      <c r="W45" s="128"/>
      <c r="X45" s="130" t="str">
        <f t="shared" si="34"/>
        <v/>
      </c>
      <c r="Y45" s="131" t="str">
        <f t="shared" si="1"/>
        <v/>
      </c>
      <c r="Z45" s="132" t="str">
        <f t="shared" si="31"/>
        <v/>
      </c>
      <c r="AA45" s="131" t="str">
        <f t="shared" si="3"/>
        <v/>
      </c>
      <c r="AB45" s="140" t="str">
        <f t="shared" si="35"/>
        <v/>
      </c>
      <c r="AC45" s="133" t="str">
        <f t="shared" ref="AC45:AC46" si="36">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137"/>
      <c r="AI45" s="135"/>
      <c r="AJ45" s="136"/>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5">
      <c r="A46" s="199"/>
      <c r="B46" s="190"/>
      <c r="C46" s="190"/>
      <c r="D46" s="190"/>
      <c r="E46" s="203"/>
      <c r="F46" s="190"/>
      <c r="G46" s="193"/>
      <c r="H46" s="196"/>
      <c r="I46" s="209"/>
      <c r="J46" s="212"/>
      <c r="K46" s="209">
        <f t="shared" ca="1" si="29"/>
        <v>0</v>
      </c>
      <c r="L46" s="196"/>
      <c r="M46" s="209"/>
      <c r="N46" s="206"/>
      <c r="O46" s="125">
        <v>6</v>
      </c>
      <c r="P46" s="126"/>
      <c r="Q46" s="127" t="str">
        <f t="shared" si="33"/>
        <v/>
      </c>
      <c r="R46" s="128"/>
      <c r="S46" s="128"/>
      <c r="T46" s="129" t="str">
        <f t="shared" si="30"/>
        <v/>
      </c>
      <c r="U46" s="128"/>
      <c r="V46" s="128"/>
      <c r="W46" s="128"/>
      <c r="X46" s="130" t="str">
        <f t="shared" si="34"/>
        <v/>
      </c>
      <c r="Y46" s="131" t="str">
        <f t="shared" si="1"/>
        <v/>
      </c>
      <c r="Z46" s="132" t="str">
        <f t="shared" si="31"/>
        <v/>
      </c>
      <c r="AA46" s="131" t="str">
        <f t="shared" si="3"/>
        <v/>
      </c>
      <c r="AB46" s="140" t="str">
        <f t="shared" si="35"/>
        <v/>
      </c>
      <c r="AC46" s="133" t="str">
        <f t="shared" si="36"/>
        <v/>
      </c>
      <c r="AD46" s="134"/>
      <c r="AE46" s="135"/>
      <c r="AF46" s="136"/>
      <c r="AG46" s="137"/>
      <c r="AH46" s="137"/>
      <c r="AI46" s="135"/>
      <c r="AJ46" s="136"/>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5">
      <c r="A47" s="197">
        <v>8</v>
      </c>
      <c r="B47" s="188"/>
      <c r="C47" s="188"/>
      <c r="D47" s="188"/>
      <c r="E47" s="213"/>
      <c r="F47" s="188"/>
      <c r="G47" s="191"/>
      <c r="H47" s="194" t="str">
        <f>IF(G47&lt;=0,"",IF(G47&lt;=2,"Muy Baja",IF(G47&lt;=24,"Baja",IF(G47&lt;=500,"Media",IF(G47&lt;=5000,"Alta","Muy Alta")))))</f>
        <v/>
      </c>
      <c r="I47" s="207" t="str">
        <f>IF(H47="","",IF(H47="Muy Baja",0.2,IF(H47="Baja",0.4,IF(H47="Media",0.6,IF(H47="Alta",0.8,IF(H47="Muy Alta",1,))))))</f>
        <v/>
      </c>
      <c r="J47" s="210"/>
      <c r="K47" s="207">
        <f ca="1">IF(NOT(ISERROR(MATCH(J47,'Tabla Impacto'!$B$221:$B$223,0))),'Tabla Impacto'!$F$223&amp;"Por favor no seleccionar los criterios de impacto(Afectación Económica o presupuestal y Pérdida Reputacional)",J47)</f>
        <v>0</v>
      </c>
      <c r="L47" s="194" t="str">
        <f ca="1">IF(OR(K47='Tabla Impacto'!$C$11,K47='Tabla Impacto'!$D$11),"Leve",IF(OR(K47='Tabla Impacto'!$C$12,K47='Tabla Impacto'!$D$12),"Menor",IF(OR(K47='Tabla Impacto'!$C$13,K47='Tabla Impacto'!$D$13),"Moderado",IF(OR(K47='Tabla Impacto'!$C$14,K47='Tabla Impacto'!$D$14),"Mayor",IF(OR(K47='Tabla Impacto'!$C$15,K47='Tabla Impacto'!$D$15),"Catastrófico","")))))</f>
        <v/>
      </c>
      <c r="M47" s="207" t="str">
        <f ca="1">IF(L47="","",IF(L47="Leve",0.2,IF(L47="Menor",0.4,IF(L47="Moderado",0.6,IF(L47="Mayor",0.8,IF(L47="Catastrófico",1,))))))</f>
        <v/>
      </c>
      <c r="N47" s="204" t="str">
        <f ca="1">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
      </c>
      <c r="O47" s="125">
        <v>1</v>
      </c>
      <c r="P47" s="126"/>
      <c r="Q47" s="127" t="str">
        <f>IF(OR(R47="Preventivo",R47="Detectivo"),"Probabilidad",IF(R47="Correctivo","Impacto",""))</f>
        <v/>
      </c>
      <c r="R47" s="128"/>
      <c r="S47" s="128"/>
      <c r="T47" s="129" t="str">
        <f>IF(AND(R47="Preventivo",S47="Automático"),"50%",IF(AND(R47="Preventivo",S47="Manual"),"40%",IF(AND(R47="Detectivo",S47="Automático"),"40%",IF(AND(R47="Detectivo",S47="Manual"),"30%",IF(AND(R47="Correctivo",S47="Automático"),"35%",IF(AND(R47="Correctivo",S47="Manual"),"25%",""))))))</f>
        <v/>
      </c>
      <c r="U47" s="128"/>
      <c r="V47" s="128"/>
      <c r="W47" s="128"/>
      <c r="X47" s="130" t="str">
        <f>IFERROR(IF(Q47="Probabilidad",(I47-(+I47*T47)),IF(Q47="Impacto",I47,"")),"")</f>
        <v/>
      </c>
      <c r="Y47" s="131" t="str">
        <f>IFERROR(IF(X47="","",IF(X47&lt;=0.2,"Muy Baja",IF(X47&lt;=0.4,"Baja",IF(X47&lt;=0.6,"Media",IF(X47&lt;=0.8,"Alta","Muy Alta"))))),"")</f>
        <v/>
      </c>
      <c r="Z47" s="132" t="str">
        <f>+X47</f>
        <v/>
      </c>
      <c r="AA47" s="131" t="str">
        <f>IFERROR(IF(AB47="","",IF(AB47&lt;=0.2,"Leve",IF(AB47&lt;=0.4,"Menor",IF(AB47&lt;=0.6,"Moderado",IF(AB47&lt;=0.8,"Mayor","Catastrófico"))))),"")</f>
        <v/>
      </c>
      <c r="AB47" s="140" t="str">
        <f>IFERROR(IF(Q47="Impacto",(M47-(+M47*T47)),IF(Q47="Probabilidad",M47,"")),"")</f>
        <v/>
      </c>
      <c r="AC47" s="133"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4"/>
      <c r="AE47" s="135"/>
      <c r="AF47" s="136"/>
      <c r="AG47" s="137"/>
      <c r="AH47" s="137"/>
      <c r="AI47" s="135"/>
      <c r="AJ47" s="136"/>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5">
      <c r="A48" s="198"/>
      <c r="B48" s="189"/>
      <c r="C48" s="189"/>
      <c r="D48" s="189"/>
      <c r="E48" s="202"/>
      <c r="F48" s="189"/>
      <c r="G48" s="192"/>
      <c r="H48" s="195"/>
      <c r="I48" s="208"/>
      <c r="J48" s="211"/>
      <c r="K48" s="208">
        <f ca="1">IF(NOT(ISERROR(MATCH(J48,_xlfn.ANCHORARRAY(E59),0))),I61&amp;"Por favor no seleccionar los criterios de impacto",J48)</f>
        <v>0</v>
      </c>
      <c r="L48" s="195"/>
      <c r="M48" s="208"/>
      <c r="N48" s="205"/>
      <c r="O48" s="125">
        <v>2</v>
      </c>
      <c r="P48" s="126"/>
      <c r="Q48" s="127" t="str">
        <f>IF(OR(R48="Preventivo",R48="Detectivo"),"Probabilidad",IF(R48="Correctivo","Impacto",""))</f>
        <v/>
      </c>
      <c r="R48" s="128"/>
      <c r="S48" s="128"/>
      <c r="T48" s="129" t="str">
        <f t="shared" ref="T48:T52" si="37">IF(AND(R48="Preventivo",S48="Automático"),"50%",IF(AND(R48="Preventivo",S48="Manual"),"40%",IF(AND(R48="Detectivo",S48="Automático"),"40%",IF(AND(R48="Detectivo",S48="Manual"),"30%",IF(AND(R48="Correctivo",S48="Automático"),"35%",IF(AND(R48="Correctivo",S48="Manual"),"25%",""))))))</f>
        <v/>
      </c>
      <c r="U48" s="128"/>
      <c r="V48" s="128"/>
      <c r="W48" s="128"/>
      <c r="X48" s="130" t="str">
        <f>IFERROR(IF(AND(Q47="Probabilidad",Q48="Probabilidad"),(Z47-(+Z47*T48)),IF(Q48="Probabilidad",(I47-(+I47*T48)),IF(Q48="Impacto",Z47,""))),"")</f>
        <v/>
      </c>
      <c r="Y48" s="131" t="str">
        <f t="shared" si="1"/>
        <v/>
      </c>
      <c r="Z48" s="132" t="str">
        <f t="shared" ref="Z48:Z52" si="38">+X48</f>
        <v/>
      </c>
      <c r="AA48" s="131" t="str">
        <f t="shared" si="3"/>
        <v/>
      </c>
      <c r="AB48" s="140" t="str">
        <f>IFERROR(IF(AND(Q47="Impacto",Q48="Impacto"),(AB47-(+AB47*T48)),IF(Q48="Impacto",(M47-(+M47*T48)),IF(Q48="Probabilidad",AB47,""))),"")</f>
        <v/>
      </c>
      <c r="AC48" s="133" t="str">
        <f t="shared" ref="AC48:AC49" si="39">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137"/>
      <c r="AI48" s="135"/>
      <c r="AJ48" s="136"/>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5">
      <c r="A49" s="198"/>
      <c r="B49" s="189"/>
      <c r="C49" s="189"/>
      <c r="D49" s="189"/>
      <c r="E49" s="202"/>
      <c r="F49" s="189"/>
      <c r="G49" s="192"/>
      <c r="H49" s="195"/>
      <c r="I49" s="208"/>
      <c r="J49" s="211"/>
      <c r="K49" s="208">
        <f ca="1">IF(NOT(ISERROR(MATCH(J49,_xlfn.ANCHORARRAY(E60),0))),I62&amp;"Por favor no seleccionar los criterios de impacto",J49)</f>
        <v>0</v>
      </c>
      <c r="L49" s="195"/>
      <c r="M49" s="208"/>
      <c r="N49" s="205"/>
      <c r="O49" s="125">
        <v>3</v>
      </c>
      <c r="P49" s="138"/>
      <c r="Q49" s="127" t="str">
        <f>IF(OR(R49="Preventivo",R49="Detectivo"),"Probabilidad",IF(R49="Correctivo","Impacto",""))</f>
        <v/>
      </c>
      <c r="R49" s="128"/>
      <c r="S49" s="128"/>
      <c r="T49" s="129" t="str">
        <f t="shared" si="37"/>
        <v/>
      </c>
      <c r="U49" s="128"/>
      <c r="V49" s="128"/>
      <c r="W49" s="128"/>
      <c r="X49" s="130" t="str">
        <f>IFERROR(IF(AND(Q48="Probabilidad",Q49="Probabilidad"),(Z48-(+Z48*T49)),IF(AND(Q48="Impacto",Q49="Probabilidad"),(Z47-(+Z47*T49)),IF(Q49="Impacto",Z48,""))),"")</f>
        <v/>
      </c>
      <c r="Y49" s="131" t="str">
        <f t="shared" si="1"/>
        <v/>
      </c>
      <c r="Z49" s="132" t="str">
        <f t="shared" si="38"/>
        <v/>
      </c>
      <c r="AA49" s="131" t="str">
        <f t="shared" si="3"/>
        <v/>
      </c>
      <c r="AB49" s="140" t="str">
        <f>IFERROR(IF(AND(Q48="Impacto",Q49="Impacto"),(AB48-(+AB48*T49)),IF(AND(Q48="Probabilidad",Q49="Impacto"),(AB47-(+AB47*T49)),IF(Q49="Probabilidad",AB48,""))),"")</f>
        <v/>
      </c>
      <c r="AC49" s="133" t="str">
        <f t="shared" si="39"/>
        <v/>
      </c>
      <c r="AD49" s="134"/>
      <c r="AE49" s="135"/>
      <c r="AF49" s="136"/>
      <c r="AG49" s="137"/>
      <c r="AH49" s="137"/>
      <c r="AI49" s="135"/>
      <c r="AJ49" s="136"/>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5">
      <c r="A50" s="198"/>
      <c r="B50" s="189"/>
      <c r="C50" s="189"/>
      <c r="D50" s="189"/>
      <c r="E50" s="202"/>
      <c r="F50" s="189"/>
      <c r="G50" s="192"/>
      <c r="H50" s="195"/>
      <c r="I50" s="208"/>
      <c r="J50" s="211"/>
      <c r="K50" s="208">
        <f ca="1">IF(NOT(ISERROR(MATCH(J50,_xlfn.ANCHORARRAY(E61),0))),I63&amp;"Por favor no seleccionar los criterios de impacto",J50)</f>
        <v>0</v>
      </c>
      <c r="L50" s="195"/>
      <c r="M50" s="208"/>
      <c r="N50" s="205"/>
      <c r="O50" s="125">
        <v>4</v>
      </c>
      <c r="P50" s="126"/>
      <c r="Q50" s="127" t="str">
        <f t="shared" ref="Q50:Q52" si="40">IF(OR(R50="Preventivo",R50="Detectivo"),"Probabilidad",IF(R50="Correctivo","Impacto",""))</f>
        <v/>
      </c>
      <c r="R50" s="128"/>
      <c r="S50" s="128"/>
      <c r="T50" s="129" t="str">
        <f t="shared" si="37"/>
        <v/>
      </c>
      <c r="U50" s="128"/>
      <c r="V50" s="128"/>
      <c r="W50" s="128"/>
      <c r="X50" s="130" t="str">
        <f t="shared" ref="X50:X52" si="41">IFERROR(IF(AND(Q49="Probabilidad",Q50="Probabilidad"),(Z49-(+Z49*T50)),IF(AND(Q49="Impacto",Q50="Probabilidad"),(Z48-(+Z48*T50)),IF(Q50="Impacto",Z49,""))),"")</f>
        <v/>
      </c>
      <c r="Y50" s="131" t="str">
        <f t="shared" si="1"/>
        <v/>
      </c>
      <c r="Z50" s="132" t="str">
        <f t="shared" si="38"/>
        <v/>
      </c>
      <c r="AA50" s="131" t="str">
        <f t="shared" si="3"/>
        <v/>
      </c>
      <c r="AB50" s="140" t="str">
        <f t="shared" ref="AB50:AB52" si="42">IFERROR(IF(AND(Q49="Impacto",Q50="Impacto"),(AB49-(+AB49*T50)),IF(AND(Q49="Probabilidad",Q50="Impacto"),(AB48-(+AB48*T50)),IF(Q50="Probabilidad",AB49,""))),"")</f>
        <v/>
      </c>
      <c r="AC50" s="133"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4"/>
      <c r="AE50" s="135"/>
      <c r="AF50" s="136"/>
      <c r="AG50" s="137"/>
      <c r="AH50" s="137"/>
      <c r="AI50" s="135"/>
      <c r="AJ50" s="136"/>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5">
      <c r="A51" s="198"/>
      <c r="B51" s="189"/>
      <c r="C51" s="189"/>
      <c r="D51" s="189"/>
      <c r="E51" s="202"/>
      <c r="F51" s="189"/>
      <c r="G51" s="192"/>
      <c r="H51" s="195"/>
      <c r="I51" s="208"/>
      <c r="J51" s="211"/>
      <c r="K51" s="208">
        <f ca="1">IF(NOT(ISERROR(MATCH(J51,_xlfn.ANCHORARRAY(E62),0))),I64&amp;"Por favor no seleccionar los criterios de impacto",J51)</f>
        <v>0</v>
      </c>
      <c r="L51" s="195"/>
      <c r="M51" s="208"/>
      <c r="N51" s="205"/>
      <c r="O51" s="125">
        <v>5</v>
      </c>
      <c r="P51" s="126"/>
      <c r="Q51" s="127" t="str">
        <f t="shared" si="40"/>
        <v/>
      </c>
      <c r="R51" s="128"/>
      <c r="S51" s="128"/>
      <c r="T51" s="129" t="str">
        <f t="shared" si="37"/>
        <v/>
      </c>
      <c r="U51" s="128"/>
      <c r="V51" s="128"/>
      <c r="W51" s="128"/>
      <c r="X51" s="130" t="str">
        <f t="shared" si="41"/>
        <v/>
      </c>
      <c r="Y51" s="131" t="str">
        <f t="shared" si="1"/>
        <v/>
      </c>
      <c r="Z51" s="132" t="str">
        <f t="shared" si="38"/>
        <v/>
      </c>
      <c r="AA51" s="131" t="str">
        <f t="shared" si="3"/>
        <v/>
      </c>
      <c r="AB51" s="140" t="str">
        <f t="shared" si="42"/>
        <v/>
      </c>
      <c r="AC51" s="133" t="str">
        <f t="shared" ref="AC51:AC52" si="43">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4"/>
      <c r="AE51" s="135"/>
      <c r="AF51" s="136"/>
      <c r="AG51" s="137"/>
      <c r="AH51" s="137"/>
      <c r="AI51" s="135"/>
      <c r="AJ51" s="136"/>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5">
      <c r="A52" s="199"/>
      <c r="B52" s="190"/>
      <c r="C52" s="190"/>
      <c r="D52" s="190"/>
      <c r="E52" s="203"/>
      <c r="F52" s="190"/>
      <c r="G52" s="193"/>
      <c r="H52" s="196"/>
      <c r="I52" s="209"/>
      <c r="J52" s="212"/>
      <c r="K52" s="209">
        <f ca="1">IF(NOT(ISERROR(MATCH(J52,_xlfn.ANCHORARRAY(E63),0))),I65&amp;"Por favor no seleccionar los criterios de impacto",J52)</f>
        <v>0</v>
      </c>
      <c r="L52" s="196"/>
      <c r="M52" s="209"/>
      <c r="N52" s="206"/>
      <c r="O52" s="125">
        <v>6</v>
      </c>
      <c r="P52" s="126"/>
      <c r="Q52" s="127" t="str">
        <f t="shared" si="40"/>
        <v/>
      </c>
      <c r="R52" s="128"/>
      <c r="S52" s="128"/>
      <c r="T52" s="129" t="str">
        <f t="shared" si="37"/>
        <v/>
      </c>
      <c r="U52" s="128"/>
      <c r="V52" s="128"/>
      <c r="W52" s="128"/>
      <c r="X52" s="130" t="str">
        <f t="shared" si="41"/>
        <v/>
      </c>
      <c r="Y52" s="131" t="str">
        <f t="shared" si="1"/>
        <v/>
      </c>
      <c r="Z52" s="132" t="str">
        <f t="shared" si="38"/>
        <v/>
      </c>
      <c r="AA52" s="131" t="str">
        <f t="shared" si="3"/>
        <v/>
      </c>
      <c r="AB52" s="140" t="str">
        <f t="shared" si="42"/>
        <v/>
      </c>
      <c r="AC52" s="133" t="str">
        <f t="shared" si="43"/>
        <v/>
      </c>
      <c r="AD52" s="134"/>
      <c r="AE52" s="135"/>
      <c r="AF52" s="136"/>
      <c r="AG52" s="137"/>
      <c r="AH52" s="137"/>
      <c r="AI52" s="135"/>
      <c r="AJ52" s="136"/>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5">
      <c r="A53" s="197">
        <v>9</v>
      </c>
      <c r="B53" s="188"/>
      <c r="C53" s="188"/>
      <c r="D53" s="188"/>
      <c r="E53" s="213"/>
      <c r="F53" s="188"/>
      <c r="G53" s="191"/>
      <c r="H53" s="194" t="str">
        <f>IF(G53&lt;=0,"",IF(G53&lt;=2,"Muy Baja",IF(G53&lt;=24,"Baja",IF(G53&lt;=500,"Media",IF(G53&lt;=5000,"Alta","Muy Alta")))))</f>
        <v/>
      </c>
      <c r="I53" s="207" t="str">
        <f>IF(H53="","",IF(H53="Muy Baja",0.2,IF(H53="Baja",0.4,IF(H53="Media",0.6,IF(H53="Alta",0.8,IF(H53="Muy Alta",1,))))))</f>
        <v/>
      </c>
      <c r="J53" s="210"/>
      <c r="K53" s="207">
        <f ca="1">IF(NOT(ISERROR(MATCH(J53,'Tabla Impacto'!$B$221:$B$223,0))),'Tabla Impacto'!$F$223&amp;"Por favor no seleccionar los criterios de impacto(Afectación Económica o presupuestal y Pérdida Reputacional)",J53)</f>
        <v>0</v>
      </c>
      <c r="L53" s="194" t="str">
        <f ca="1">IF(OR(K53='Tabla Impacto'!$C$11,K53='Tabla Impacto'!$D$11),"Leve",IF(OR(K53='Tabla Impacto'!$C$12,K53='Tabla Impacto'!$D$12),"Menor",IF(OR(K53='Tabla Impacto'!$C$13,K53='Tabla Impacto'!$D$13),"Moderado",IF(OR(K53='Tabla Impacto'!$C$14,K53='Tabla Impacto'!$D$14),"Mayor",IF(OR(K53='Tabla Impacto'!$C$15,K53='Tabla Impacto'!$D$15),"Catastrófico","")))))</f>
        <v/>
      </c>
      <c r="M53" s="207" t="str">
        <f ca="1">IF(L53="","",IF(L53="Leve",0.2,IF(L53="Menor",0.4,IF(L53="Moderado",0.6,IF(L53="Mayor",0.8,IF(L53="Catastrófico",1,))))))</f>
        <v/>
      </c>
      <c r="N53" s="204" t="str">
        <f ca="1">IF(OR(AND(H53="Muy Baja",L53="Leve"),AND(H53="Muy Baja",L53="Menor"),AND(H53="Baja",L53="Leve")),"Bajo",IF(OR(AND(H53="Muy baja",L53="Moderado"),AND(H53="Baja",L53="Menor"),AND(H53="Baja",L53="Moderado"),AND(H53="Media",L53="Leve"),AND(H53="Media",L53="Menor"),AND(H53="Media",L53="Moderado"),AND(H53="Alta",L53="Leve"),AND(H53="Alta",L53="Menor")),"Moderado",IF(OR(AND(H53="Muy Baja",L53="Mayor"),AND(H53="Baja",L53="Mayor"),AND(H53="Media",L53="Mayor"),AND(H53="Alta",L53="Moderado"),AND(H53="Alta",L53="Mayor"),AND(H53="Muy Alta",L53="Leve"),AND(H53="Muy Alta",L53="Menor"),AND(H53="Muy Alta",L53="Moderado"),AND(H53="Muy Alta",L53="Mayor")),"Alto",IF(OR(AND(H53="Muy Baja",L53="Catastrófico"),AND(H53="Baja",L53="Catastrófico"),AND(H53="Media",L53="Catastrófico"),AND(H53="Alta",L53="Catastrófico"),AND(H53="Muy Alta",L53="Catastrófico")),"Extremo",""))))</f>
        <v/>
      </c>
      <c r="O53" s="125">
        <v>1</v>
      </c>
      <c r="P53" s="126"/>
      <c r="Q53" s="127" t="str">
        <f>IF(OR(R53="Preventivo",R53="Detectivo"),"Probabilidad",IF(R53="Correctivo","Impacto",""))</f>
        <v/>
      </c>
      <c r="R53" s="128"/>
      <c r="S53" s="128"/>
      <c r="T53" s="129" t="str">
        <f>IF(AND(R53="Preventivo",S53="Automático"),"50%",IF(AND(R53="Preventivo",S53="Manual"),"40%",IF(AND(R53="Detectivo",S53="Automático"),"40%",IF(AND(R53="Detectivo",S53="Manual"),"30%",IF(AND(R53="Correctivo",S53="Automático"),"35%",IF(AND(R53="Correctivo",S53="Manual"),"25%",""))))))</f>
        <v/>
      </c>
      <c r="U53" s="128"/>
      <c r="V53" s="128"/>
      <c r="W53" s="128"/>
      <c r="X53" s="130" t="str">
        <f>IFERROR(IF(Q53="Probabilidad",(I53-(+I53*T53)),IF(Q53="Impacto",I53,"")),"")</f>
        <v/>
      </c>
      <c r="Y53" s="131" t="str">
        <f>IFERROR(IF(X53="","",IF(X53&lt;=0.2,"Muy Baja",IF(X53&lt;=0.4,"Baja",IF(X53&lt;=0.6,"Media",IF(X53&lt;=0.8,"Alta","Muy Alta"))))),"")</f>
        <v/>
      </c>
      <c r="Z53" s="132" t="str">
        <f>+X53</f>
        <v/>
      </c>
      <c r="AA53" s="131" t="str">
        <f>IFERROR(IF(AB53="","",IF(AB53&lt;=0.2,"Leve",IF(AB53&lt;=0.4,"Menor",IF(AB53&lt;=0.6,"Moderado",IF(AB53&lt;=0.8,"Mayor","Catastrófico"))))),"")</f>
        <v/>
      </c>
      <c r="AB53" s="140" t="str">
        <f>IFERROR(IF(Q53="Impacto",(M53-(+M53*T53)),IF(Q53="Probabilidad",M53,"")),"")</f>
        <v/>
      </c>
      <c r="AC53" s="133"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4"/>
      <c r="AE53" s="135"/>
      <c r="AF53" s="136"/>
      <c r="AG53" s="137"/>
      <c r="AH53" s="137"/>
      <c r="AI53" s="135"/>
      <c r="AJ53" s="136"/>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5">
      <c r="A54" s="198"/>
      <c r="B54" s="189"/>
      <c r="C54" s="189"/>
      <c r="D54" s="189"/>
      <c r="E54" s="202"/>
      <c r="F54" s="189"/>
      <c r="G54" s="192"/>
      <c r="H54" s="195"/>
      <c r="I54" s="208"/>
      <c r="J54" s="211"/>
      <c r="K54" s="208">
        <f ca="1">IF(NOT(ISERROR(MATCH(J54,_xlfn.ANCHORARRAY(E65),0))),I67&amp;"Por favor no seleccionar los criterios de impacto",J54)</f>
        <v>0</v>
      </c>
      <c r="L54" s="195"/>
      <c r="M54" s="208"/>
      <c r="N54" s="205"/>
      <c r="O54" s="125">
        <v>2</v>
      </c>
      <c r="P54" s="126"/>
      <c r="Q54" s="127" t="str">
        <f>IF(OR(R54="Preventivo",R54="Detectivo"),"Probabilidad",IF(R54="Correctivo","Impacto",""))</f>
        <v/>
      </c>
      <c r="R54" s="128"/>
      <c r="S54" s="128"/>
      <c r="T54" s="129" t="str">
        <f t="shared" ref="T54:T58" si="44">IF(AND(R54="Preventivo",S54="Automático"),"50%",IF(AND(R54="Preventivo",S54="Manual"),"40%",IF(AND(R54="Detectivo",S54="Automático"),"40%",IF(AND(R54="Detectivo",S54="Manual"),"30%",IF(AND(R54="Correctivo",S54="Automático"),"35%",IF(AND(R54="Correctivo",S54="Manual"),"25%",""))))))</f>
        <v/>
      </c>
      <c r="U54" s="128"/>
      <c r="V54" s="128"/>
      <c r="W54" s="128"/>
      <c r="X54" s="130" t="str">
        <f>IFERROR(IF(AND(Q53="Probabilidad",Q54="Probabilidad"),(Z53-(+Z53*T54)),IF(Q54="Probabilidad",(I53-(+I53*T54)),IF(Q54="Impacto",Z53,""))),"")</f>
        <v/>
      </c>
      <c r="Y54" s="131" t="str">
        <f t="shared" si="1"/>
        <v/>
      </c>
      <c r="Z54" s="132" t="str">
        <f t="shared" ref="Z54:Z58" si="45">+X54</f>
        <v/>
      </c>
      <c r="AA54" s="131" t="str">
        <f t="shared" si="3"/>
        <v/>
      </c>
      <c r="AB54" s="140" t="str">
        <f>IFERROR(IF(AND(Q53="Impacto",Q54="Impacto"),(AB53-(+AB53*T54)),IF(Q54="Impacto",(M53-(+M53*T54)),IF(Q54="Probabilidad",AB53,""))),"")</f>
        <v/>
      </c>
      <c r="AC54" s="133" t="str">
        <f t="shared" ref="AC54:AC55" si="46">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4"/>
      <c r="AE54" s="135"/>
      <c r="AF54" s="136"/>
      <c r="AG54" s="137"/>
      <c r="AH54" s="137"/>
      <c r="AI54" s="135"/>
      <c r="AJ54" s="136"/>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5">
      <c r="A55" s="198"/>
      <c r="B55" s="189"/>
      <c r="C55" s="189"/>
      <c r="D55" s="189"/>
      <c r="E55" s="202"/>
      <c r="F55" s="189"/>
      <c r="G55" s="192"/>
      <c r="H55" s="195"/>
      <c r="I55" s="208"/>
      <c r="J55" s="211"/>
      <c r="K55" s="208">
        <f ca="1">IF(NOT(ISERROR(MATCH(J55,_xlfn.ANCHORARRAY(E66),0))),I68&amp;"Por favor no seleccionar los criterios de impacto",J55)</f>
        <v>0</v>
      </c>
      <c r="L55" s="195"/>
      <c r="M55" s="208"/>
      <c r="N55" s="205"/>
      <c r="O55" s="125">
        <v>3</v>
      </c>
      <c r="P55" s="138"/>
      <c r="Q55" s="127" t="str">
        <f>IF(OR(R55="Preventivo",R55="Detectivo"),"Probabilidad",IF(R55="Correctivo","Impacto",""))</f>
        <v/>
      </c>
      <c r="R55" s="128"/>
      <c r="S55" s="128"/>
      <c r="T55" s="129" t="str">
        <f t="shared" si="44"/>
        <v/>
      </c>
      <c r="U55" s="128"/>
      <c r="V55" s="128"/>
      <c r="W55" s="128"/>
      <c r="X55" s="130" t="str">
        <f>IFERROR(IF(AND(Q54="Probabilidad",Q55="Probabilidad"),(Z54-(+Z54*T55)),IF(AND(Q54="Impacto",Q55="Probabilidad"),(Z53-(+Z53*T55)),IF(Q55="Impacto",Z54,""))),"")</f>
        <v/>
      </c>
      <c r="Y55" s="131" t="str">
        <f t="shared" si="1"/>
        <v/>
      </c>
      <c r="Z55" s="132" t="str">
        <f t="shared" si="45"/>
        <v/>
      </c>
      <c r="AA55" s="131" t="str">
        <f t="shared" si="3"/>
        <v/>
      </c>
      <c r="AB55" s="140" t="str">
        <f>IFERROR(IF(AND(Q54="Impacto",Q55="Impacto"),(AB54-(+AB54*T55)),IF(AND(Q54="Probabilidad",Q55="Impacto"),(AB53-(+AB53*T55)),IF(Q55="Probabilidad",AB54,""))),"")</f>
        <v/>
      </c>
      <c r="AC55" s="133" t="str">
        <f t="shared" si="46"/>
        <v/>
      </c>
      <c r="AD55" s="134"/>
      <c r="AE55" s="135"/>
      <c r="AF55" s="136"/>
      <c r="AG55" s="137"/>
      <c r="AH55" s="137"/>
      <c r="AI55" s="135"/>
      <c r="AJ55" s="136"/>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35.25" customHeight="1" x14ac:dyDescent="0.35">
      <c r="A56" s="198"/>
      <c r="B56" s="189"/>
      <c r="C56" s="189"/>
      <c r="D56" s="189"/>
      <c r="E56" s="202"/>
      <c r="F56" s="189"/>
      <c r="G56" s="192"/>
      <c r="H56" s="195"/>
      <c r="I56" s="208"/>
      <c r="J56" s="211"/>
      <c r="K56" s="208">
        <f ca="1">IF(NOT(ISERROR(MATCH(J56,_xlfn.ANCHORARRAY(E67),0))),I69&amp;"Por favor no seleccionar los criterios de impacto",J56)</f>
        <v>0</v>
      </c>
      <c r="L56" s="195"/>
      <c r="M56" s="208"/>
      <c r="N56" s="205"/>
      <c r="O56" s="125">
        <v>4</v>
      </c>
      <c r="P56" s="126"/>
      <c r="Q56" s="127" t="str">
        <f t="shared" ref="Q56:Q58" si="47">IF(OR(R56="Preventivo",R56="Detectivo"),"Probabilidad",IF(R56="Correctivo","Impacto",""))</f>
        <v/>
      </c>
      <c r="R56" s="128"/>
      <c r="S56" s="128"/>
      <c r="T56" s="129" t="str">
        <f t="shared" si="44"/>
        <v/>
      </c>
      <c r="U56" s="128"/>
      <c r="V56" s="128"/>
      <c r="W56" s="128"/>
      <c r="X56" s="130" t="str">
        <f t="shared" ref="X56:X58" si="48">IFERROR(IF(AND(Q55="Probabilidad",Q56="Probabilidad"),(Z55-(+Z55*T56)),IF(AND(Q55="Impacto",Q56="Probabilidad"),(Z54-(+Z54*T56)),IF(Q56="Impacto",Z55,""))),"")</f>
        <v/>
      </c>
      <c r="Y56" s="131" t="str">
        <f t="shared" si="1"/>
        <v/>
      </c>
      <c r="Z56" s="132" t="str">
        <f t="shared" si="45"/>
        <v/>
      </c>
      <c r="AA56" s="131" t="str">
        <f t="shared" si="3"/>
        <v/>
      </c>
      <c r="AB56" s="140" t="str">
        <f t="shared" ref="AB56:AB58" si="49">IFERROR(IF(AND(Q55="Impacto",Q56="Impacto"),(AB55-(+AB55*T56)),IF(AND(Q55="Probabilidad",Q56="Impacto"),(AB54-(+AB54*T56)),IF(Q56="Probabilidad",AB55,""))),"")</f>
        <v/>
      </c>
      <c r="AC56" s="133"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4"/>
      <c r="AE56" s="135"/>
      <c r="AF56" s="136"/>
      <c r="AG56" s="137"/>
      <c r="AH56" s="137"/>
      <c r="AI56" s="135"/>
      <c r="AJ56" s="136"/>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35.25" customHeight="1" x14ac:dyDescent="0.35">
      <c r="A57" s="198"/>
      <c r="B57" s="189"/>
      <c r="C57" s="189"/>
      <c r="D57" s="189"/>
      <c r="E57" s="202"/>
      <c r="F57" s="189"/>
      <c r="G57" s="192"/>
      <c r="H57" s="195"/>
      <c r="I57" s="208"/>
      <c r="J57" s="211"/>
      <c r="K57" s="208">
        <f ca="1">IF(NOT(ISERROR(MATCH(J57,_xlfn.ANCHORARRAY(E68),0))),I70&amp;"Por favor no seleccionar los criterios de impacto",J57)</f>
        <v>0</v>
      </c>
      <c r="L57" s="195"/>
      <c r="M57" s="208"/>
      <c r="N57" s="205"/>
      <c r="O57" s="125">
        <v>5</v>
      </c>
      <c r="P57" s="126"/>
      <c r="Q57" s="127" t="str">
        <f t="shared" si="47"/>
        <v/>
      </c>
      <c r="R57" s="128"/>
      <c r="S57" s="128"/>
      <c r="T57" s="129" t="str">
        <f t="shared" si="44"/>
        <v/>
      </c>
      <c r="U57" s="128"/>
      <c r="V57" s="128"/>
      <c r="W57" s="128"/>
      <c r="X57" s="130" t="str">
        <f t="shared" si="48"/>
        <v/>
      </c>
      <c r="Y57" s="131" t="str">
        <f t="shared" si="1"/>
        <v/>
      </c>
      <c r="Z57" s="132" t="str">
        <f t="shared" si="45"/>
        <v/>
      </c>
      <c r="AA57" s="131" t="str">
        <f t="shared" si="3"/>
        <v/>
      </c>
      <c r="AB57" s="140" t="str">
        <f t="shared" si="49"/>
        <v/>
      </c>
      <c r="AC57" s="133" t="str">
        <f t="shared" ref="AC57:AC58" si="50">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4"/>
      <c r="AE57" s="135"/>
      <c r="AF57" s="136"/>
      <c r="AG57" s="137"/>
      <c r="AH57" s="137"/>
      <c r="AI57" s="135"/>
      <c r="AJ57" s="136"/>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35.25" customHeight="1" x14ac:dyDescent="0.35">
      <c r="A58" s="199"/>
      <c r="B58" s="190"/>
      <c r="C58" s="190"/>
      <c r="D58" s="190"/>
      <c r="E58" s="203"/>
      <c r="F58" s="190"/>
      <c r="G58" s="193"/>
      <c r="H58" s="196"/>
      <c r="I58" s="209"/>
      <c r="J58" s="212"/>
      <c r="K58" s="209">
        <f ca="1">IF(NOT(ISERROR(MATCH(J58,_xlfn.ANCHORARRAY(E69),0))),I71&amp;"Por favor no seleccionar los criterios de impacto",J58)</f>
        <v>0</v>
      </c>
      <c r="L58" s="196"/>
      <c r="M58" s="209"/>
      <c r="N58" s="206"/>
      <c r="O58" s="125">
        <v>6</v>
      </c>
      <c r="P58" s="126"/>
      <c r="Q58" s="127" t="str">
        <f t="shared" si="47"/>
        <v/>
      </c>
      <c r="R58" s="128"/>
      <c r="S58" s="128"/>
      <c r="T58" s="129" t="str">
        <f t="shared" si="44"/>
        <v/>
      </c>
      <c r="U58" s="128"/>
      <c r="V58" s="128"/>
      <c r="W58" s="128"/>
      <c r="X58" s="130" t="str">
        <f t="shared" si="48"/>
        <v/>
      </c>
      <c r="Y58" s="131" t="str">
        <f t="shared" si="1"/>
        <v/>
      </c>
      <c r="Z58" s="132" t="str">
        <f t="shared" si="45"/>
        <v/>
      </c>
      <c r="AA58" s="131" t="str">
        <f t="shared" si="3"/>
        <v/>
      </c>
      <c r="AB58" s="140" t="str">
        <f t="shared" si="49"/>
        <v/>
      </c>
      <c r="AC58" s="133" t="str">
        <f t="shared" si="50"/>
        <v/>
      </c>
      <c r="AD58" s="134"/>
      <c r="AE58" s="135"/>
      <c r="AF58" s="136"/>
      <c r="AG58" s="137"/>
      <c r="AH58" s="137"/>
      <c r="AI58" s="135"/>
      <c r="AJ58" s="136"/>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35.25" customHeight="1" x14ac:dyDescent="0.35">
      <c r="A59" s="197">
        <v>10</v>
      </c>
      <c r="B59" s="188"/>
      <c r="C59" s="188"/>
      <c r="D59" s="188"/>
      <c r="E59" s="213"/>
      <c r="F59" s="188"/>
      <c r="G59" s="191"/>
      <c r="H59" s="194" t="str">
        <f>IF(G59&lt;=0,"",IF(G59&lt;=2,"Muy Baja",IF(G59&lt;=24,"Baja",IF(G59&lt;=500,"Media",IF(G59&lt;=5000,"Alta","Muy Alta")))))</f>
        <v/>
      </c>
      <c r="I59" s="207" t="str">
        <f>IF(H59="","",IF(H59="Muy Baja",0.2,IF(H59="Baja",0.4,IF(H59="Media",0.6,IF(H59="Alta",0.8,IF(H59="Muy Alta",1,))))))</f>
        <v/>
      </c>
      <c r="J59" s="210"/>
      <c r="K59" s="207">
        <f ca="1">IF(NOT(ISERROR(MATCH(J59,'Tabla Impacto'!$B$221:$B$223,0))),'Tabla Impacto'!$F$223&amp;"Por favor no seleccionar los criterios de impacto(Afectación Económica o presupuestal y Pérdida Reputacional)",J59)</f>
        <v>0</v>
      </c>
      <c r="L59" s="194" t="str">
        <f ca="1">IF(OR(K59='Tabla Impacto'!$C$11,K59='Tabla Impacto'!$D$11),"Leve",IF(OR(K59='Tabla Impacto'!$C$12,K59='Tabla Impacto'!$D$12),"Menor",IF(OR(K59='Tabla Impacto'!$C$13,K59='Tabla Impacto'!$D$13),"Moderado",IF(OR(K59='Tabla Impacto'!$C$14,K59='Tabla Impacto'!$D$14),"Mayor",IF(OR(K59='Tabla Impacto'!$C$15,K59='Tabla Impacto'!$D$15),"Catastrófico","")))))</f>
        <v/>
      </c>
      <c r="M59" s="207" t="str">
        <f ca="1">IF(L59="","",IF(L59="Leve",0.2,IF(L59="Menor",0.4,IF(L59="Moderado",0.6,IF(L59="Mayor",0.8,IF(L59="Catastrófico",1,))))))</f>
        <v/>
      </c>
      <c r="N59" s="204" t="str">
        <f ca="1">IF(OR(AND(H59="Muy Baja",L59="Leve"),AND(H59="Muy Baja",L59="Menor"),AND(H59="Baja",L59="Leve")),"Bajo",IF(OR(AND(H59="Muy baja",L59="Moderado"),AND(H59="Baja",L59="Menor"),AND(H59="Baja",L59="Moderado"),AND(H59="Media",L59="Leve"),AND(H59="Media",L59="Menor"),AND(H59="Media",L59="Moderado"),AND(H59="Alta",L59="Leve"),AND(H59="Alta",L59="Menor")),"Moderado",IF(OR(AND(H59="Muy Baja",L59="Mayor"),AND(H59="Baja",L59="Mayor"),AND(H59="Media",L59="Mayor"),AND(H59="Alta",L59="Moderado"),AND(H59="Alta",L59="Mayor"),AND(H59="Muy Alta",L59="Leve"),AND(H59="Muy Alta",L59="Menor"),AND(H59="Muy Alta",L59="Moderado"),AND(H59="Muy Alta",L59="Mayor")),"Alto",IF(OR(AND(H59="Muy Baja",L59="Catastrófico"),AND(H59="Baja",L59="Catastrófico"),AND(H59="Media",L59="Catastrófico"),AND(H59="Alta",L59="Catastrófico"),AND(H59="Muy Alta",L59="Catastrófico")),"Extremo",""))))</f>
        <v/>
      </c>
      <c r="O59" s="125">
        <v>1</v>
      </c>
      <c r="P59" s="126"/>
      <c r="Q59" s="127" t="str">
        <f>IF(OR(R59="Preventivo",R59="Detectivo"),"Probabilidad",IF(R59="Correctivo","Impacto",""))</f>
        <v/>
      </c>
      <c r="R59" s="128"/>
      <c r="S59" s="128"/>
      <c r="T59" s="129" t="str">
        <f>IF(AND(R59="Preventivo",S59="Automático"),"50%",IF(AND(R59="Preventivo",S59="Manual"),"40%",IF(AND(R59="Detectivo",S59="Automático"),"40%",IF(AND(R59="Detectivo",S59="Manual"),"30%",IF(AND(R59="Correctivo",S59="Automático"),"35%",IF(AND(R59="Correctivo",S59="Manual"),"25%",""))))))</f>
        <v/>
      </c>
      <c r="U59" s="128"/>
      <c r="V59" s="128"/>
      <c r="W59" s="128"/>
      <c r="X59" s="130" t="str">
        <f>IFERROR(IF(Q59="Probabilidad",(I59-(+I59*T59)),IF(Q59="Impacto",I59,"")),"")</f>
        <v/>
      </c>
      <c r="Y59" s="131" t="str">
        <f>IFERROR(IF(X59="","",IF(X59&lt;=0.2,"Muy Baja",IF(X59&lt;=0.4,"Baja",IF(X59&lt;=0.6,"Media",IF(X59&lt;=0.8,"Alta","Muy Alta"))))),"")</f>
        <v/>
      </c>
      <c r="Z59" s="132" t="str">
        <f>+X59</f>
        <v/>
      </c>
      <c r="AA59" s="131" t="str">
        <f>IFERROR(IF(AB59="","",IF(AB59&lt;=0.2,"Leve",IF(AB59&lt;=0.4,"Menor",IF(AB59&lt;=0.6,"Moderado",IF(AB59&lt;=0.8,"Mayor","Catastrófico"))))),"")</f>
        <v/>
      </c>
      <c r="AB59" s="140" t="str">
        <f>IFERROR(IF(Q59="Impacto",(M59-(+M59*T59)),IF(Q59="Probabilidad",M59,"")),"")</f>
        <v/>
      </c>
      <c r="AC59" s="133"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4"/>
      <c r="AE59" s="135"/>
      <c r="AF59" s="136"/>
      <c r="AG59" s="137"/>
      <c r="AH59" s="137"/>
      <c r="AI59" s="135"/>
      <c r="AJ59" s="136"/>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35.25" customHeight="1" x14ac:dyDescent="0.35">
      <c r="A60" s="198"/>
      <c r="B60" s="189"/>
      <c r="C60" s="189"/>
      <c r="D60" s="189"/>
      <c r="E60" s="202"/>
      <c r="F60" s="189"/>
      <c r="G60" s="192"/>
      <c r="H60" s="195"/>
      <c r="I60" s="208"/>
      <c r="J60" s="211"/>
      <c r="K60" s="208">
        <f ca="1">IF(NOT(ISERROR(MATCH(J60,_xlfn.ANCHORARRAY(E71),0))),I73&amp;"Por favor no seleccionar los criterios de impacto",J60)</f>
        <v>0</v>
      </c>
      <c r="L60" s="195"/>
      <c r="M60" s="208"/>
      <c r="N60" s="205"/>
      <c r="O60" s="125">
        <v>2</v>
      </c>
      <c r="P60" s="126"/>
      <c r="Q60" s="127" t="str">
        <f>IF(OR(R60="Preventivo",R60="Detectivo"),"Probabilidad",IF(R60="Correctivo","Impacto",""))</f>
        <v/>
      </c>
      <c r="R60" s="128"/>
      <c r="S60" s="128"/>
      <c r="T60" s="129" t="str">
        <f t="shared" ref="T60:T64" si="51">IF(AND(R60="Preventivo",S60="Automático"),"50%",IF(AND(R60="Preventivo",S60="Manual"),"40%",IF(AND(R60="Detectivo",S60="Automático"),"40%",IF(AND(R60="Detectivo",S60="Manual"),"30%",IF(AND(R60="Correctivo",S60="Automático"),"35%",IF(AND(R60="Correctivo",S60="Manual"),"25%",""))))))</f>
        <v/>
      </c>
      <c r="U60" s="128"/>
      <c r="V60" s="128"/>
      <c r="W60" s="128"/>
      <c r="X60" s="130" t="str">
        <f>IFERROR(IF(AND(Q59="Probabilidad",Q60="Probabilidad"),(Z59-(+Z59*T60)),IF(Q60="Probabilidad",(I59-(+I59*T60)),IF(Q60="Impacto",Z59,""))),"")</f>
        <v/>
      </c>
      <c r="Y60" s="131" t="str">
        <f t="shared" si="1"/>
        <v/>
      </c>
      <c r="Z60" s="132" t="str">
        <f t="shared" ref="Z60:Z64" si="52">+X60</f>
        <v/>
      </c>
      <c r="AA60" s="131" t="str">
        <f t="shared" si="3"/>
        <v/>
      </c>
      <c r="AB60" s="140" t="str">
        <f>IFERROR(IF(AND(Q59="Impacto",Q60="Impacto"),(AB59-(+AB59*T60)),IF(Q60="Impacto",(M59-(+M59*T60)),IF(Q60="Probabilidad",AB59,""))),"")</f>
        <v/>
      </c>
      <c r="AC60" s="133" t="str">
        <f t="shared" ref="AC60:AC61" si="53">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34"/>
      <c r="AE60" s="135"/>
      <c r="AF60" s="136"/>
      <c r="AG60" s="137"/>
      <c r="AH60" s="137"/>
      <c r="AI60" s="135"/>
      <c r="AJ60" s="136"/>
    </row>
    <row r="61" spans="1:68" ht="35.25" customHeight="1" x14ac:dyDescent="0.35">
      <c r="A61" s="198"/>
      <c r="B61" s="189"/>
      <c r="C61" s="189"/>
      <c r="D61" s="189"/>
      <c r="E61" s="202"/>
      <c r="F61" s="189"/>
      <c r="G61" s="192"/>
      <c r="H61" s="195"/>
      <c r="I61" s="208"/>
      <c r="J61" s="211"/>
      <c r="K61" s="208">
        <f ca="1">IF(NOT(ISERROR(MATCH(J61,_xlfn.ANCHORARRAY(E72),0))),I74&amp;"Por favor no seleccionar los criterios de impacto",J61)</f>
        <v>0</v>
      </c>
      <c r="L61" s="195"/>
      <c r="M61" s="208"/>
      <c r="N61" s="205"/>
      <c r="O61" s="125">
        <v>3</v>
      </c>
      <c r="P61" s="138"/>
      <c r="Q61" s="127" t="str">
        <f>IF(OR(R61="Preventivo",R61="Detectivo"),"Probabilidad",IF(R61="Correctivo","Impacto",""))</f>
        <v/>
      </c>
      <c r="R61" s="128"/>
      <c r="S61" s="128"/>
      <c r="T61" s="129" t="str">
        <f t="shared" si="51"/>
        <v/>
      </c>
      <c r="U61" s="128"/>
      <c r="V61" s="128"/>
      <c r="W61" s="128"/>
      <c r="X61" s="130" t="str">
        <f>IFERROR(IF(AND(Q60="Probabilidad",Q61="Probabilidad"),(Z60-(+Z60*T61)),IF(AND(Q60="Impacto",Q61="Probabilidad"),(Z59-(+Z59*T61)),IF(Q61="Impacto",Z60,""))),"")</f>
        <v/>
      </c>
      <c r="Y61" s="131" t="str">
        <f t="shared" si="1"/>
        <v/>
      </c>
      <c r="Z61" s="132" t="str">
        <f t="shared" si="52"/>
        <v/>
      </c>
      <c r="AA61" s="131" t="str">
        <f t="shared" si="3"/>
        <v/>
      </c>
      <c r="AB61" s="140" t="str">
        <f>IFERROR(IF(AND(Q60="Impacto",Q61="Impacto"),(AB60-(+AB60*T61)),IF(AND(Q60="Probabilidad",Q61="Impacto"),(AB59-(+AB59*T61)),IF(Q61="Probabilidad",AB60,""))),"")</f>
        <v/>
      </c>
      <c r="AC61" s="133" t="str">
        <f t="shared" si="53"/>
        <v/>
      </c>
      <c r="AD61" s="134"/>
      <c r="AE61" s="135"/>
      <c r="AF61" s="136"/>
      <c r="AG61" s="137"/>
      <c r="AH61" s="137"/>
      <c r="AI61" s="135"/>
      <c r="AJ61" s="136"/>
    </row>
    <row r="62" spans="1:68" ht="35.25" customHeight="1" x14ac:dyDescent="0.35">
      <c r="A62" s="198"/>
      <c r="B62" s="189"/>
      <c r="C62" s="189"/>
      <c r="D62" s="189"/>
      <c r="E62" s="202"/>
      <c r="F62" s="189"/>
      <c r="G62" s="192"/>
      <c r="H62" s="195"/>
      <c r="I62" s="208"/>
      <c r="J62" s="211"/>
      <c r="K62" s="208">
        <f ca="1">IF(NOT(ISERROR(MATCH(J62,_xlfn.ANCHORARRAY(E73),0))),I75&amp;"Por favor no seleccionar los criterios de impacto",J62)</f>
        <v>0</v>
      </c>
      <c r="L62" s="195"/>
      <c r="M62" s="208"/>
      <c r="N62" s="205"/>
      <c r="O62" s="125">
        <v>4</v>
      </c>
      <c r="P62" s="126"/>
      <c r="Q62" s="127" t="str">
        <f t="shared" ref="Q62:Q64" si="54">IF(OR(R62="Preventivo",R62="Detectivo"),"Probabilidad",IF(R62="Correctivo","Impacto",""))</f>
        <v/>
      </c>
      <c r="R62" s="128"/>
      <c r="S62" s="128"/>
      <c r="T62" s="129" t="str">
        <f t="shared" si="51"/>
        <v/>
      </c>
      <c r="U62" s="128"/>
      <c r="V62" s="128"/>
      <c r="W62" s="128"/>
      <c r="X62" s="130" t="str">
        <f t="shared" ref="X62:X64" si="55">IFERROR(IF(AND(Q61="Probabilidad",Q62="Probabilidad"),(Z61-(+Z61*T62)),IF(AND(Q61="Impacto",Q62="Probabilidad"),(Z60-(+Z60*T62)),IF(Q62="Impacto",Z61,""))),"")</f>
        <v/>
      </c>
      <c r="Y62" s="131" t="str">
        <f t="shared" si="1"/>
        <v/>
      </c>
      <c r="Z62" s="132" t="str">
        <f t="shared" si="52"/>
        <v/>
      </c>
      <c r="AA62" s="131" t="str">
        <f t="shared" si="3"/>
        <v/>
      </c>
      <c r="AB62" s="140" t="str">
        <f t="shared" ref="AB62:AB64" si="56">IFERROR(IF(AND(Q61="Impacto",Q62="Impacto"),(AB61-(+AB61*T62)),IF(AND(Q61="Probabilidad",Q62="Impacto"),(AB60-(+AB60*T62)),IF(Q62="Probabilidad",AB61,""))),"")</f>
        <v/>
      </c>
      <c r="AC62" s="133"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4"/>
      <c r="AE62" s="135"/>
      <c r="AF62" s="136"/>
      <c r="AG62" s="137"/>
      <c r="AH62" s="137"/>
      <c r="AI62" s="135"/>
      <c r="AJ62" s="136"/>
    </row>
    <row r="63" spans="1:68" ht="35.25" customHeight="1" x14ac:dyDescent="0.35">
      <c r="A63" s="198"/>
      <c r="B63" s="189"/>
      <c r="C63" s="189"/>
      <c r="D63" s="189"/>
      <c r="E63" s="202"/>
      <c r="F63" s="189"/>
      <c r="G63" s="192"/>
      <c r="H63" s="195"/>
      <c r="I63" s="208"/>
      <c r="J63" s="211"/>
      <c r="K63" s="208">
        <f ca="1">IF(NOT(ISERROR(MATCH(J63,_xlfn.ANCHORARRAY(E74),0))),I76&amp;"Por favor no seleccionar los criterios de impacto",J63)</f>
        <v>0</v>
      </c>
      <c r="L63" s="195"/>
      <c r="M63" s="208"/>
      <c r="N63" s="205"/>
      <c r="O63" s="125">
        <v>5</v>
      </c>
      <c r="P63" s="126"/>
      <c r="Q63" s="127" t="str">
        <f t="shared" si="54"/>
        <v/>
      </c>
      <c r="R63" s="128"/>
      <c r="S63" s="128"/>
      <c r="T63" s="129" t="str">
        <f t="shared" si="51"/>
        <v/>
      </c>
      <c r="U63" s="128"/>
      <c r="V63" s="128"/>
      <c r="W63" s="128"/>
      <c r="X63" s="130" t="str">
        <f t="shared" si="55"/>
        <v/>
      </c>
      <c r="Y63" s="131" t="str">
        <f t="shared" si="1"/>
        <v/>
      </c>
      <c r="Z63" s="132" t="str">
        <f t="shared" si="52"/>
        <v/>
      </c>
      <c r="AA63" s="131" t="str">
        <f t="shared" si="3"/>
        <v/>
      </c>
      <c r="AB63" s="140" t="str">
        <f t="shared" si="56"/>
        <v/>
      </c>
      <c r="AC63" s="133" t="str">
        <f t="shared" ref="AC63:AC64" si="57">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34"/>
      <c r="AE63" s="135"/>
      <c r="AF63" s="136"/>
      <c r="AG63" s="137"/>
      <c r="AH63" s="137"/>
      <c r="AI63" s="135"/>
      <c r="AJ63" s="136"/>
    </row>
    <row r="64" spans="1:68" ht="35.25" customHeight="1" x14ac:dyDescent="0.35">
      <c r="A64" s="199"/>
      <c r="B64" s="190"/>
      <c r="C64" s="190"/>
      <c r="D64" s="190"/>
      <c r="E64" s="203"/>
      <c r="F64" s="190"/>
      <c r="G64" s="193"/>
      <c r="H64" s="196"/>
      <c r="I64" s="209"/>
      <c r="J64" s="212"/>
      <c r="K64" s="209">
        <f ca="1">IF(NOT(ISERROR(MATCH(J64,_xlfn.ANCHORARRAY(E75),0))),I77&amp;"Por favor no seleccionar los criterios de impacto",J64)</f>
        <v>0</v>
      </c>
      <c r="L64" s="196"/>
      <c r="M64" s="209"/>
      <c r="N64" s="206"/>
      <c r="O64" s="125">
        <v>6</v>
      </c>
      <c r="P64" s="126"/>
      <c r="Q64" s="127" t="str">
        <f t="shared" si="54"/>
        <v/>
      </c>
      <c r="R64" s="128"/>
      <c r="S64" s="128"/>
      <c r="T64" s="129" t="str">
        <f t="shared" si="51"/>
        <v/>
      </c>
      <c r="U64" s="128"/>
      <c r="V64" s="128"/>
      <c r="W64" s="128"/>
      <c r="X64" s="130" t="str">
        <f t="shared" si="55"/>
        <v/>
      </c>
      <c r="Y64" s="131" t="str">
        <f t="shared" si="1"/>
        <v/>
      </c>
      <c r="Z64" s="132" t="str">
        <f t="shared" si="52"/>
        <v/>
      </c>
      <c r="AA64" s="131" t="str">
        <f t="shared" si="3"/>
        <v/>
      </c>
      <c r="AB64" s="140" t="str">
        <f t="shared" si="56"/>
        <v/>
      </c>
      <c r="AC64" s="133" t="str">
        <f t="shared" si="57"/>
        <v/>
      </c>
      <c r="AD64" s="134"/>
      <c r="AE64" s="135"/>
      <c r="AF64" s="136"/>
      <c r="AG64" s="137"/>
      <c r="AH64" s="137"/>
      <c r="AI64" s="135"/>
      <c r="AJ64" s="136"/>
    </row>
    <row r="65" spans="1:36" ht="49.5" customHeight="1" x14ac:dyDescent="0.35">
      <c r="A65" s="6"/>
      <c r="B65" s="235" t="s">
        <v>131</v>
      </c>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7"/>
    </row>
    <row r="67" spans="1:36" x14ac:dyDescent="0.35">
      <c r="A67" s="1"/>
      <c r="B67" s="24" t="s">
        <v>143</v>
      </c>
      <c r="C67" s="1"/>
      <c r="D67" s="1"/>
      <c r="F67" s="1"/>
    </row>
  </sheetData>
  <dataConsolidate/>
  <mergeCells count="189">
    <mergeCell ref="P23:P25"/>
    <mergeCell ref="C4:M4"/>
    <mergeCell ref="C5:Q5"/>
    <mergeCell ref="P10:P14"/>
    <mergeCell ref="AE10:AE14"/>
    <mergeCell ref="A1:AJ2"/>
    <mergeCell ref="A7:G7"/>
    <mergeCell ref="H7:N7"/>
    <mergeCell ref="O7:W7"/>
    <mergeCell ref="X7:AD7"/>
    <mergeCell ref="AE7:AJ7"/>
    <mergeCell ref="M21:M22"/>
    <mergeCell ref="N21:N22"/>
    <mergeCell ref="A23:A28"/>
    <mergeCell ref="B23:B28"/>
    <mergeCell ref="C23:C28"/>
    <mergeCell ref="D23:D28"/>
    <mergeCell ref="E23:E28"/>
    <mergeCell ref="F23:F28"/>
    <mergeCell ref="G23:G28"/>
    <mergeCell ref="H23:H28"/>
    <mergeCell ref="I23:I28"/>
    <mergeCell ref="J23:J28"/>
    <mergeCell ref="K23:K28"/>
    <mergeCell ref="B65:AJ65"/>
    <mergeCell ref="M53:M58"/>
    <mergeCell ref="N53:N58"/>
    <mergeCell ref="A59:A64"/>
    <mergeCell ref="B59:B64"/>
    <mergeCell ref="C59:C64"/>
    <mergeCell ref="D59:D64"/>
    <mergeCell ref="E59:E64"/>
    <mergeCell ref="F59:F64"/>
    <mergeCell ref="G59:G64"/>
    <mergeCell ref="H59:H64"/>
    <mergeCell ref="I59:I64"/>
    <mergeCell ref="J59:J64"/>
    <mergeCell ref="K59:K64"/>
    <mergeCell ref="L59:L64"/>
    <mergeCell ref="M59:M64"/>
    <mergeCell ref="N59:N64"/>
    <mergeCell ref="J53:J58"/>
    <mergeCell ref="K53:K58"/>
    <mergeCell ref="L53:L58"/>
    <mergeCell ref="A53:A58"/>
    <mergeCell ref="B53:B58"/>
    <mergeCell ref="C53:C58"/>
    <mergeCell ref="D53:D58"/>
    <mergeCell ref="E53:E58"/>
    <mergeCell ref="F53:F58"/>
    <mergeCell ref="G53:G58"/>
    <mergeCell ref="H53:H58"/>
    <mergeCell ref="I53:I58"/>
    <mergeCell ref="M41:M46"/>
    <mergeCell ref="N41:N46"/>
    <mergeCell ref="F47:F52"/>
    <mergeCell ref="G47:G52"/>
    <mergeCell ref="H47:H52"/>
    <mergeCell ref="I47:I52"/>
    <mergeCell ref="J47:J52"/>
    <mergeCell ref="F41:F46"/>
    <mergeCell ref="G41:G46"/>
    <mergeCell ref="H41:H46"/>
    <mergeCell ref="I41:I46"/>
    <mergeCell ref="K47:K52"/>
    <mergeCell ref="L47:L52"/>
    <mergeCell ref="M47:M52"/>
    <mergeCell ref="N47:N52"/>
    <mergeCell ref="I29:I34"/>
    <mergeCell ref="J29:J34"/>
    <mergeCell ref="G35:G40"/>
    <mergeCell ref="H35:H40"/>
    <mergeCell ref="I35:I40"/>
    <mergeCell ref="K29:K34"/>
    <mergeCell ref="L29:L34"/>
    <mergeCell ref="A47:A52"/>
    <mergeCell ref="B47:B52"/>
    <mergeCell ref="C47:C52"/>
    <mergeCell ref="D47:D52"/>
    <mergeCell ref="E47:E52"/>
    <mergeCell ref="A41:A46"/>
    <mergeCell ref="B41:B46"/>
    <mergeCell ref="C41:C46"/>
    <mergeCell ref="D41:D46"/>
    <mergeCell ref="E41:E46"/>
    <mergeCell ref="M29:M34"/>
    <mergeCell ref="N29:N34"/>
    <mergeCell ref="M35:M40"/>
    <mergeCell ref="N35:N40"/>
    <mergeCell ref="J41:J46"/>
    <mergeCell ref="K41:K46"/>
    <mergeCell ref="L41:L46"/>
    <mergeCell ref="A29:A34"/>
    <mergeCell ref="B29:B34"/>
    <mergeCell ref="C29:C34"/>
    <mergeCell ref="A35:A40"/>
    <mergeCell ref="B35:B40"/>
    <mergeCell ref="C35:C40"/>
    <mergeCell ref="D35:D40"/>
    <mergeCell ref="E35:E40"/>
    <mergeCell ref="F35:F40"/>
    <mergeCell ref="D29:D34"/>
    <mergeCell ref="E29:E34"/>
    <mergeCell ref="J35:J40"/>
    <mergeCell ref="K35:K40"/>
    <mergeCell ref="L35:L40"/>
    <mergeCell ref="F29:F34"/>
    <mergeCell ref="G29:G34"/>
    <mergeCell ref="H29:H34"/>
    <mergeCell ref="L23:L28"/>
    <mergeCell ref="M23:M28"/>
    <mergeCell ref="N23:N28"/>
    <mergeCell ref="J21:J22"/>
    <mergeCell ref="K21:K22"/>
    <mergeCell ref="L21:L22"/>
    <mergeCell ref="I15:I20"/>
    <mergeCell ref="J15:J20"/>
    <mergeCell ref="A15:A20"/>
    <mergeCell ref="B15:B20"/>
    <mergeCell ref="C15:C20"/>
    <mergeCell ref="A21:A22"/>
    <mergeCell ref="B21:B22"/>
    <mergeCell ref="C21:C22"/>
    <mergeCell ref="D21:D22"/>
    <mergeCell ref="E21:E22"/>
    <mergeCell ref="F21:F22"/>
    <mergeCell ref="G21:G22"/>
    <mergeCell ref="H21:H22"/>
    <mergeCell ref="I21:I22"/>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6:N6"/>
    <mergeCell ref="O8:O9"/>
    <mergeCell ref="AC8:AC9"/>
    <mergeCell ref="AB8:AB9"/>
    <mergeCell ref="X8:X9"/>
    <mergeCell ref="P8:P9"/>
    <mergeCell ref="O4:Q4"/>
    <mergeCell ref="AA8:AA9"/>
    <mergeCell ref="Y8:Y9"/>
    <mergeCell ref="Z8:Z9"/>
    <mergeCell ref="G8:G9"/>
    <mergeCell ref="H8:H9"/>
    <mergeCell ref="I8:I9"/>
    <mergeCell ref="L8:L9"/>
    <mergeCell ref="M8:M9"/>
    <mergeCell ref="B8:B9"/>
    <mergeCell ref="N8:N9"/>
    <mergeCell ref="J8:J9"/>
    <mergeCell ref="K8:K9"/>
    <mergeCell ref="Q8:Q9"/>
    <mergeCell ref="R8:W8"/>
    <mergeCell ref="P15:P17"/>
    <mergeCell ref="F10:F14"/>
    <mergeCell ref="G10:G14"/>
    <mergeCell ref="H10:H14"/>
    <mergeCell ref="A10:A14"/>
    <mergeCell ref="B10:B14"/>
    <mergeCell ref="C10:C14"/>
    <mergeCell ref="D10:D14"/>
    <mergeCell ref="E10:E14"/>
    <mergeCell ref="N10:N14"/>
    <mergeCell ref="I10:I14"/>
    <mergeCell ref="J10:J14"/>
    <mergeCell ref="K10:K14"/>
    <mergeCell ref="L10:L14"/>
    <mergeCell ref="M10:M14"/>
    <mergeCell ref="D15:D20"/>
    <mergeCell ref="E15:E20"/>
    <mergeCell ref="K15:K20"/>
    <mergeCell ref="L15:L20"/>
    <mergeCell ref="M15:M20"/>
    <mergeCell ref="N15:N20"/>
    <mergeCell ref="F15:F20"/>
    <mergeCell ref="G15:G20"/>
    <mergeCell ref="H15:H20"/>
  </mergeCells>
  <conditionalFormatting sqref="H15 Y10:Y14">
    <cfRule type="cellIs" dxfId="233" priority="332" operator="equal">
      <formula>"Muy Alta"</formula>
    </cfRule>
    <cfRule type="cellIs" dxfId="232" priority="333" operator="equal">
      <formula>"Alta"</formula>
    </cfRule>
    <cfRule type="cellIs" dxfId="231" priority="334" operator="equal">
      <formula>"Media"</formula>
    </cfRule>
    <cfRule type="cellIs" dxfId="230" priority="335" operator="equal">
      <formula>"Baja"</formula>
    </cfRule>
    <cfRule type="cellIs" dxfId="229" priority="336" operator="equal">
      <formula>"Muy Baja"</formula>
    </cfRule>
  </conditionalFormatting>
  <conditionalFormatting sqref="L10 L15 L21 L23 L29 L35 L41 L47 L53 L59 AA10:AA14">
    <cfRule type="cellIs" dxfId="228" priority="327" operator="equal">
      <formula>"Catastrófico"</formula>
    </cfRule>
    <cfRule type="cellIs" dxfId="227" priority="328" operator="equal">
      <formula>"Mayor"</formula>
    </cfRule>
    <cfRule type="cellIs" dxfId="226" priority="329" operator="equal">
      <formula>"Moderado"</formula>
    </cfRule>
    <cfRule type="cellIs" dxfId="225" priority="330" operator="equal">
      <formula>"Menor"</formula>
    </cfRule>
    <cfRule type="cellIs" dxfId="224" priority="331" operator="equal">
      <formula>"Leve"</formula>
    </cfRule>
  </conditionalFormatting>
  <conditionalFormatting sqref="N10 AC10:AC14">
    <cfRule type="cellIs" dxfId="223" priority="323" operator="equal">
      <formula>"Extremo"</formula>
    </cfRule>
    <cfRule type="cellIs" dxfId="222" priority="324" operator="equal">
      <formula>"Alto"</formula>
    </cfRule>
    <cfRule type="cellIs" dxfId="221" priority="325" operator="equal">
      <formula>"Moderado"</formula>
    </cfRule>
    <cfRule type="cellIs" dxfId="220" priority="326" operator="equal">
      <formula>"Bajo"</formula>
    </cfRule>
  </conditionalFormatting>
  <conditionalFormatting sqref="H53">
    <cfRule type="cellIs" dxfId="219" priority="66" operator="equal">
      <formula>"Muy Alta"</formula>
    </cfRule>
    <cfRule type="cellIs" dxfId="218" priority="67" operator="equal">
      <formula>"Alta"</formula>
    </cfRule>
    <cfRule type="cellIs" dxfId="217" priority="68" operator="equal">
      <formula>"Media"</formula>
    </cfRule>
    <cfRule type="cellIs" dxfId="216" priority="69" operator="equal">
      <formula>"Baja"</formula>
    </cfRule>
    <cfRule type="cellIs" dxfId="215" priority="70" operator="equal">
      <formula>"Muy Baja"</formula>
    </cfRule>
  </conditionalFormatting>
  <conditionalFormatting sqref="N15">
    <cfRule type="cellIs" dxfId="214" priority="253" operator="equal">
      <formula>"Extremo"</formula>
    </cfRule>
    <cfRule type="cellIs" dxfId="213" priority="254" operator="equal">
      <formula>"Alto"</formula>
    </cfRule>
    <cfRule type="cellIs" dxfId="212" priority="255" operator="equal">
      <formula>"Moderado"</formula>
    </cfRule>
    <cfRule type="cellIs" dxfId="211" priority="256" operator="equal">
      <formula>"Bajo"</formula>
    </cfRule>
  </conditionalFormatting>
  <conditionalFormatting sqref="Y16:Y20">
    <cfRule type="cellIs" dxfId="210" priority="248" operator="equal">
      <formula>"Muy Alta"</formula>
    </cfRule>
    <cfRule type="cellIs" dxfId="209" priority="249" operator="equal">
      <formula>"Alta"</formula>
    </cfRule>
    <cfRule type="cellIs" dxfId="208" priority="250" operator="equal">
      <formula>"Media"</formula>
    </cfRule>
    <cfRule type="cellIs" dxfId="207" priority="251" operator="equal">
      <formula>"Baja"</formula>
    </cfRule>
    <cfRule type="cellIs" dxfId="206" priority="252" operator="equal">
      <formula>"Muy Baja"</formula>
    </cfRule>
  </conditionalFormatting>
  <conditionalFormatting sqref="AA16:AA20">
    <cfRule type="cellIs" dxfId="205" priority="243" operator="equal">
      <formula>"Catastrófico"</formula>
    </cfRule>
    <cfRule type="cellIs" dxfId="204" priority="244" operator="equal">
      <formula>"Mayor"</formula>
    </cfRule>
    <cfRule type="cellIs" dxfId="203" priority="245" operator="equal">
      <formula>"Moderado"</formula>
    </cfRule>
    <cfRule type="cellIs" dxfId="202" priority="246" operator="equal">
      <formula>"Menor"</formula>
    </cfRule>
    <cfRule type="cellIs" dxfId="201" priority="247" operator="equal">
      <formula>"Leve"</formula>
    </cfRule>
  </conditionalFormatting>
  <conditionalFormatting sqref="AC15:AC20">
    <cfRule type="cellIs" dxfId="200" priority="239" operator="equal">
      <formula>"Extremo"</formula>
    </cfRule>
    <cfRule type="cellIs" dxfId="199" priority="240" operator="equal">
      <formula>"Alto"</formula>
    </cfRule>
    <cfRule type="cellIs" dxfId="198" priority="241" operator="equal">
      <formula>"Moderado"</formula>
    </cfRule>
    <cfRule type="cellIs" dxfId="197" priority="242" operator="equal">
      <formula>"Bajo"</formula>
    </cfRule>
  </conditionalFormatting>
  <conditionalFormatting sqref="H21">
    <cfRule type="cellIs" dxfId="196" priority="234" operator="equal">
      <formula>"Muy Alta"</formula>
    </cfRule>
    <cfRule type="cellIs" dxfId="195" priority="235" operator="equal">
      <formula>"Alta"</formula>
    </cfRule>
    <cfRule type="cellIs" dxfId="194" priority="236" operator="equal">
      <formula>"Media"</formula>
    </cfRule>
    <cfRule type="cellIs" dxfId="193" priority="237" operator="equal">
      <formula>"Baja"</formula>
    </cfRule>
    <cfRule type="cellIs" dxfId="192" priority="238" operator="equal">
      <formula>"Muy Baja"</formula>
    </cfRule>
  </conditionalFormatting>
  <conditionalFormatting sqref="N21">
    <cfRule type="cellIs" dxfId="191" priority="225" operator="equal">
      <formula>"Extremo"</formula>
    </cfRule>
    <cfRule type="cellIs" dxfId="190" priority="226" operator="equal">
      <formula>"Alto"</formula>
    </cfRule>
    <cfRule type="cellIs" dxfId="189" priority="227" operator="equal">
      <formula>"Moderado"</formula>
    </cfRule>
    <cfRule type="cellIs" dxfId="188" priority="228" operator="equal">
      <formula>"Bajo"</formula>
    </cfRule>
  </conditionalFormatting>
  <conditionalFormatting sqref="Y21:Y22">
    <cfRule type="cellIs" dxfId="187" priority="220" operator="equal">
      <formula>"Muy Alta"</formula>
    </cfRule>
    <cfRule type="cellIs" dxfId="186" priority="221" operator="equal">
      <formula>"Alta"</formula>
    </cfRule>
    <cfRule type="cellIs" dxfId="185" priority="222" operator="equal">
      <formula>"Media"</formula>
    </cfRule>
    <cfRule type="cellIs" dxfId="184" priority="223" operator="equal">
      <formula>"Baja"</formula>
    </cfRule>
    <cfRule type="cellIs" dxfId="183" priority="224" operator="equal">
      <formula>"Muy Baja"</formula>
    </cfRule>
  </conditionalFormatting>
  <conditionalFormatting sqref="AA21:AA22">
    <cfRule type="cellIs" dxfId="182" priority="215" operator="equal">
      <formula>"Catastrófico"</formula>
    </cfRule>
    <cfRule type="cellIs" dxfId="181" priority="216" operator="equal">
      <formula>"Mayor"</formula>
    </cfRule>
    <cfRule type="cellIs" dxfId="180" priority="217" operator="equal">
      <formula>"Moderado"</formula>
    </cfRule>
    <cfRule type="cellIs" dxfId="179" priority="218" operator="equal">
      <formula>"Menor"</formula>
    </cfRule>
    <cfRule type="cellIs" dxfId="178" priority="219" operator="equal">
      <formula>"Leve"</formula>
    </cfRule>
  </conditionalFormatting>
  <conditionalFormatting sqref="AC21:AC22">
    <cfRule type="cellIs" dxfId="177" priority="211" operator="equal">
      <formula>"Extremo"</formula>
    </cfRule>
    <cfRule type="cellIs" dxfId="176" priority="212" operator="equal">
      <formula>"Alto"</formula>
    </cfRule>
    <cfRule type="cellIs" dxfId="175" priority="213" operator="equal">
      <formula>"Moderado"</formula>
    </cfRule>
    <cfRule type="cellIs" dxfId="174" priority="214" operator="equal">
      <formula>"Bajo"</formula>
    </cfRule>
  </conditionalFormatting>
  <conditionalFormatting sqref="H23">
    <cfRule type="cellIs" dxfId="173" priority="206" operator="equal">
      <formula>"Muy Alta"</formula>
    </cfRule>
    <cfRule type="cellIs" dxfId="172" priority="207" operator="equal">
      <formula>"Alta"</formula>
    </cfRule>
    <cfRule type="cellIs" dxfId="171" priority="208" operator="equal">
      <formula>"Media"</formula>
    </cfRule>
    <cfRule type="cellIs" dxfId="170" priority="209" operator="equal">
      <formula>"Baja"</formula>
    </cfRule>
    <cfRule type="cellIs" dxfId="169" priority="210" operator="equal">
      <formula>"Muy Baja"</formula>
    </cfRule>
  </conditionalFormatting>
  <conditionalFormatting sqref="N23">
    <cfRule type="cellIs" dxfId="168" priority="197" operator="equal">
      <formula>"Extremo"</formula>
    </cfRule>
    <cfRule type="cellIs" dxfId="167" priority="198" operator="equal">
      <formula>"Alto"</formula>
    </cfRule>
    <cfRule type="cellIs" dxfId="166" priority="199" operator="equal">
      <formula>"Moderado"</formula>
    </cfRule>
    <cfRule type="cellIs" dxfId="165" priority="200" operator="equal">
      <formula>"Bajo"</formula>
    </cfRule>
  </conditionalFormatting>
  <conditionalFormatting sqref="Y23:Y28">
    <cfRule type="cellIs" dxfId="164" priority="192" operator="equal">
      <formula>"Muy Alta"</formula>
    </cfRule>
    <cfRule type="cellIs" dxfId="163" priority="193" operator="equal">
      <formula>"Alta"</formula>
    </cfRule>
    <cfRule type="cellIs" dxfId="162" priority="194" operator="equal">
      <formula>"Media"</formula>
    </cfRule>
    <cfRule type="cellIs" dxfId="161" priority="195" operator="equal">
      <formula>"Baja"</formula>
    </cfRule>
    <cfRule type="cellIs" dxfId="160" priority="196" operator="equal">
      <formula>"Muy Baja"</formula>
    </cfRule>
  </conditionalFormatting>
  <conditionalFormatting sqref="AA23:AA28">
    <cfRule type="cellIs" dxfId="159" priority="187" operator="equal">
      <formula>"Catastrófico"</formula>
    </cfRule>
    <cfRule type="cellIs" dxfId="158" priority="188" operator="equal">
      <formula>"Mayor"</formula>
    </cfRule>
    <cfRule type="cellIs" dxfId="157" priority="189" operator="equal">
      <formula>"Moderado"</formula>
    </cfRule>
    <cfRule type="cellIs" dxfId="156" priority="190" operator="equal">
      <formula>"Menor"</formula>
    </cfRule>
    <cfRule type="cellIs" dxfId="155" priority="191" operator="equal">
      <formula>"Leve"</formula>
    </cfRule>
  </conditionalFormatting>
  <conditionalFormatting sqref="AC23:AC28">
    <cfRule type="cellIs" dxfId="154" priority="183" operator="equal">
      <formula>"Extremo"</formula>
    </cfRule>
    <cfRule type="cellIs" dxfId="153" priority="184" operator="equal">
      <formula>"Alto"</formula>
    </cfRule>
    <cfRule type="cellIs" dxfId="152" priority="185" operator="equal">
      <formula>"Moderado"</formula>
    </cfRule>
    <cfRule type="cellIs" dxfId="151" priority="186" operator="equal">
      <formula>"Bajo"</formula>
    </cfRule>
  </conditionalFormatting>
  <conditionalFormatting sqref="H29">
    <cfRule type="cellIs" dxfId="150" priority="178" operator="equal">
      <formula>"Muy Alta"</formula>
    </cfRule>
    <cfRule type="cellIs" dxfId="149" priority="179" operator="equal">
      <formula>"Alta"</formula>
    </cfRule>
    <cfRule type="cellIs" dxfId="148" priority="180" operator="equal">
      <formula>"Media"</formula>
    </cfRule>
    <cfRule type="cellIs" dxfId="147" priority="181" operator="equal">
      <formula>"Baja"</formula>
    </cfRule>
    <cfRule type="cellIs" dxfId="146" priority="182" operator="equal">
      <formula>"Muy Baja"</formula>
    </cfRule>
  </conditionalFormatting>
  <conditionalFormatting sqref="N29">
    <cfRule type="cellIs" dxfId="145" priority="169" operator="equal">
      <formula>"Extremo"</formula>
    </cfRule>
    <cfRule type="cellIs" dxfId="144" priority="170" operator="equal">
      <formula>"Alto"</formula>
    </cfRule>
    <cfRule type="cellIs" dxfId="143" priority="171" operator="equal">
      <formula>"Moderado"</formula>
    </cfRule>
    <cfRule type="cellIs" dxfId="142" priority="172" operator="equal">
      <formula>"Bajo"</formula>
    </cfRule>
  </conditionalFormatting>
  <conditionalFormatting sqref="Y29:Y34">
    <cfRule type="cellIs" dxfId="141" priority="164" operator="equal">
      <formula>"Muy Alta"</formula>
    </cfRule>
    <cfRule type="cellIs" dxfId="140" priority="165" operator="equal">
      <formula>"Alta"</formula>
    </cfRule>
    <cfRule type="cellIs" dxfId="139" priority="166" operator="equal">
      <formula>"Media"</formula>
    </cfRule>
    <cfRule type="cellIs" dxfId="138" priority="167" operator="equal">
      <formula>"Baja"</formula>
    </cfRule>
    <cfRule type="cellIs" dxfId="137" priority="168" operator="equal">
      <formula>"Muy Baja"</formula>
    </cfRule>
  </conditionalFormatting>
  <conditionalFormatting sqref="AA29:AA34">
    <cfRule type="cellIs" dxfId="136" priority="159" operator="equal">
      <formula>"Catastrófico"</formula>
    </cfRule>
    <cfRule type="cellIs" dxfId="135" priority="160" operator="equal">
      <formula>"Mayor"</formula>
    </cfRule>
    <cfRule type="cellIs" dxfId="134" priority="161" operator="equal">
      <formula>"Moderado"</formula>
    </cfRule>
    <cfRule type="cellIs" dxfId="133" priority="162" operator="equal">
      <formula>"Menor"</formula>
    </cfRule>
    <cfRule type="cellIs" dxfId="132" priority="163" operator="equal">
      <formula>"Leve"</formula>
    </cfRule>
  </conditionalFormatting>
  <conditionalFormatting sqref="AC29:AC34">
    <cfRule type="cellIs" dxfId="131" priority="155" operator="equal">
      <formula>"Extremo"</formula>
    </cfRule>
    <cfRule type="cellIs" dxfId="130" priority="156" operator="equal">
      <formula>"Alto"</formula>
    </cfRule>
    <cfRule type="cellIs" dxfId="129" priority="157" operator="equal">
      <formula>"Moderado"</formula>
    </cfRule>
    <cfRule type="cellIs" dxfId="128" priority="158" operator="equal">
      <formula>"Bajo"</formula>
    </cfRule>
  </conditionalFormatting>
  <conditionalFormatting sqref="H35">
    <cfRule type="cellIs" dxfId="127" priority="150" operator="equal">
      <formula>"Muy Alta"</formula>
    </cfRule>
    <cfRule type="cellIs" dxfId="126" priority="151" operator="equal">
      <formula>"Alta"</formula>
    </cfRule>
    <cfRule type="cellIs" dxfId="125" priority="152" operator="equal">
      <formula>"Media"</formula>
    </cfRule>
    <cfRule type="cellIs" dxfId="124" priority="153" operator="equal">
      <formula>"Baja"</formula>
    </cfRule>
    <cfRule type="cellIs" dxfId="123" priority="154" operator="equal">
      <formula>"Muy Baja"</formula>
    </cfRule>
  </conditionalFormatting>
  <conditionalFormatting sqref="N35">
    <cfRule type="cellIs" dxfId="122" priority="141" operator="equal">
      <formula>"Extremo"</formula>
    </cfRule>
    <cfRule type="cellIs" dxfId="121" priority="142" operator="equal">
      <formula>"Alto"</formula>
    </cfRule>
    <cfRule type="cellIs" dxfId="120" priority="143" operator="equal">
      <formula>"Moderado"</formula>
    </cfRule>
    <cfRule type="cellIs" dxfId="119" priority="144" operator="equal">
      <formula>"Bajo"</formula>
    </cfRule>
  </conditionalFormatting>
  <conditionalFormatting sqref="Y35:Y40">
    <cfRule type="cellIs" dxfId="118" priority="136" operator="equal">
      <formula>"Muy Alta"</formula>
    </cfRule>
    <cfRule type="cellIs" dxfId="117" priority="137" operator="equal">
      <formula>"Alta"</formula>
    </cfRule>
    <cfRule type="cellIs" dxfId="116" priority="138" operator="equal">
      <formula>"Media"</formula>
    </cfRule>
    <cfRule type="cellIs" dxfId="115" priority="139" operator="equal">
      <formula>"Baja"</formula>
    </cfRule>
    <cfRule type="cellIs" dxfId="114" priority="140" operator="equal">
      <formula>"Muy Baja"</formula>
    </cfRule>
  </conditionalFormatting>
  <conditionalFormatting sqref="AA35:AA40">
    <cfRule type="cellIs" dxfId="113" priority="131" operator="equal">
      <formula>"Catastrófico"</formula>
    </cfRule>
    <cfRule type="cellIs" dxfId="112" priority="132" operator="equal">
      <formula>"Mayor"</formula>
    </cfRule>
    <cfRule type="cellIs" dxfId="111" priority="133" operator="equal">
      <formula>"Moderado"</formula>
    </cfRule>
    <cfRule type="cellIs" dxfId="110" priority="134" operator="equal">
      <formula>"Menor"</formula>
    </cfRule>
    <cfRule type="cellIs" dxfId="109" priority="135" operator="equal">
      <formula>"Leve"</formula>
    </cfRule>
  </conditionalFormatting>
  <conditionalFormatting sqref="AC35:AC40">
    <cfRule type="cellIs" dxfId="108" priority="127" operator="equal">
      <formula>"Extremo"</formula>
    </cfRule>
    <cfRule type="cellIs" dxfId="107" priority="128" operator="equal">
      <formula>"Alto"</formula>
    </cfRule>
    <cfRule type="cellIs" dxfId="106" priority="129" operator="equal">
      <formula>"Moderado"</formula>
    </cfRule>
    <cfRule type="cellIs" dxfId="105" priority="130" operator="equal">
      <formula>"Bajo"</formula>
    </cfRule>
  </conditionalFormatting>
  <conditionalFormatting sqref="H41">
    <cfRule type="cellIs" dxfId="104" priority="122" operator="equal">
      <formula>"Muy Alta"</formula>
    </cfRule>
    <cfRule type="cellIs" dxfId="103" priority="123" operator="equal">
      <formula>"Alta"</formula>
    </cfRule>
    <cfRule type="cellIs" dxfId="102" priority="124" operator="equal">
      <formula>"Media"</formula>
    </cfRule>
    <cfRule type="cellIs" dxfId="101" priority="125" operator="equal">
      <formula>"Baja"</formula>
    </cfRule>
    <cfRule type="cellIs" dxfId="100" priority="126" operator="equal">
      <formula>"Muy Baja"</formula>
    </cfRule>
  </conditionalFormatting>
  <conditionalFormatting sqref="N41">
    <cfRule type="cellIs" dxfId="99" priority="113" operator="equal">
      <formula>"Extremo"</formula>
    </cfRule>
    <cfRule type="cellIs" dxfId="98" priority="114" operator="equal">
      <formula>"Alto"</formula>
    </cfRule>
    <cfRule type="cellIs" dxfId="97" priority="115" operator="equal">
      <formula>"Moderado"</formula>
    </cfRule>
    <cfRule type="cellIs" dxfId="96" priority="116" operator="equal">
      <formula>"Bajo"</formula>
    </cfRule>
  </conditionalFormatting>
  <conditionalFormatting sqref="Y41:Y46">
    <cfRule type="cellIs" dxfId="95" priority="108" operator="equal">
      <formula>"Muy Alta"</formula>
    </cfRule>
    <cfRule type="cellIs" dxfId="94" priority="109" operator="equal">
      <formula>"Alta"</formula>
    </cfRule>
    <cfRule type="cellIs" dxfId="93" priority="110" operator="equal">
      <formula>"Media"</formula>
    </cfRule>
    <cfRule type="cellIs" dxfId="92" priority="111" operator="equal">
      <formula>"Baja"</formula>
    </cfRule>
    <cfRule type="cellIs" dxfId="91" priority="112" operator="equal">
      <formula>"Muy Baja"</formula>
    </cfRule>
  </conditionalFormatting>
  <conditionalFormatting sqref="AA41:AA46">
    <cfRule type="cellIs" dxfId="90" priority="103" operator="equal">
      <formula>"Catastrófico"</formula>
    </cfRule>
    <cfRule type="cellIs" dxfId="89" priority="104" operator="equal">
      <formula>"Mayor"</formula>
    </cfRule>
    <cfRule type="cellIs" dxfId="88" priority="105" operator="equal">
      <formula>"Moderado"</formula>
    </cfRule>
    <cfRule type="cellIs" dxfId="87" priority="106" operator="equal">
      <formula>"Menor"</formula>
    </cfRule>
    <cfRule type="cellIs" dxfId="86" priority="107" operator="equal">
      <formula>"Leve"</formula>
    </cfRule>
  </conditionalFormatting>
  <conditionalFormatting sqref="AC41:AC46">
    <cfRule type="cellIs" dxfId="85" priority="99" operator="equal">
      <formula>"Extremo"</formula>
    </cfRule>
    <cfRule type="cellIs" dxfId="84" priority="100" operator="equal">
      <formula>"Alto"</formula>
    </cfRule>
    <cfRule type="cellIs" dxfId="83" priority="101" operator="equal">
      <formula>"Moderado"</formula>
    </cfRule>
    <cfRule type="cellIs" dxfId="82" priority="102" operator="equal">
      <formula>"Bajo"</formula>
    </cfRule>
  </conditionalFormatting>
  <conditionalFormatting sqref="H47">
    <cfRule type="cellIs" dxfId="81" priority="94" operator="equal">
      <formula>"Muy Alta"</formula>
    </cfRule>
    <cfRule type="cellIs" dxfId="80" priority="95" operator="equal">
      <formula>"Alta"</formula>
    </cfRule>
    <cfRule type="cellIs" dxfId="79" priority="96" operator="equal">
      <formula>"Media"</formula>
    </cfRule>
    <cfRule type="cellIs" dxfId="78" priority="97" operator="equal">
      <formula>"Baja"</formula>
    </cfRule>
    <cfRule type="cellIs" dxfId="77" priority="98" operator="equal">
      <formula>"Muy Baja"</formula>
    </cfRule>
  </conditionalFormatting>
  <conditionalFormatting sqref="N47">
    <cfRule type="cellIs" dxfId="76" priority="85" operator="equal">
      <formula>"Extremo"</formula>
    </cfRule>
    <cfRule type="cellIs" dxfId="75" priority="86" operator="equal">
      <formula>"Alto"</formula>
    </cfRule>
    <cfRule type="cellIs" dxfId="74" priority="87" operator="equal">
      <formula>"Moderado"</formula>
    </cfRule>
    <cfRule type="cellIs" dxfId="73" priority="88" operator="equal">
      <formula>"Bajo"</formula>
    </cfRule>
  </conditionalFormatting>
  <conditionalFormatting sqref="Y47:Y52">
    <cfRule type="cellIs" dxfId="72" priority="80" operator="equal">
      <formula>"Muy Alta"</formula>
    </cfRule>
    <cfRule type="cellIs" dxfId="71" priority="81" operator="equal">
      <formula>"Alta"</formula>
    </cfRule>
    <cfRule type="cellIs" dxfId="70" priority="82" operator="equal">
      <formula>"Media"</formula>
    </cfRule>
    <cfRule type="cellIs" dxfId="69" priority="83" operator="equal">
      <formula>"Baja"</formula>
    </cfRule>
    <cfRule type="cellIs" dxfId="68" priority="84" operator="equal">
      <formula>"Muy Baja"</formula>
    </cfRule>
  </conditionalFormatting>
  <conditionalFormatting sqref="AA47:AA52">
    <cfRule type="cellIs" dxfId="67" priority="75" operator="equal">
      <formula>"Catastrófico"</formula>
    </cfRule>
    <cfRule type="cellIs" dxfId="66" priority="76" operator="equal">
      <formula>"Mayor"</formula>
    </cfRule>
    <cfRule type="cellIs" dxfId="65" priority="77" operator="equal">
      <formula>"Moderado"</formula>
    </cfRule>
    <cfRule type="cellIs" dxfId="64" priority="78" operator="equal">
      <formula>"Menor"</formula>
    </cfRule>
    <cfRule type="cellIs" dxfId="63" priority="79" operator="equal">
      <formula>"Leve"</formula>
    </cfRule>
  </conditionalFormatting>
  <conditionalFormatting sqref="AC47:AC52">
    <cfRule type="cellIs" dxfId="62" priority="71" operator="equal">
      <formula>"Extremo"</formula>
    </cfRule>
    <cfRule type="cellIs" dxfId="61" priority="72" operator="equal">
      <formula>"Alto"</formula>
    </cfRule>
    <cfRule type="cellIs" dxfId="60" priority="73" operator="equal">
      <formula>"Moderado"</formula>
    </cfRule>
    <cfRule type="cellIs" dxfId="59" priority="74" operator="equal">
      <formula>"Bajo"</formula>
    </cfRule>
  </conditionalFormatting>
  <conditionalFormatting sqref="N53">
    <cfRule type="cellIs" dxfId="58" priority="57" operator="equal">
      <formula>"Extremo"</formula>
    </cfRule>
    <cfRule type="cellIs" dxfId="57" priority="58" operator="equal">
      <formula>"Alto"</formula>
    </cfRule>
    <cfRule type="cellIs" dxfId="56" priority="59" operator="equal">
      <formula>"Moderado"</formula>
    </cfRule>
    <cfRule type="cellIs" dxfId="55" priority="60" operator="equal">
      <formula>"Bajo"</formula>
    </cfRule>
  </conditionalFormatting>
  <conditionalFormatting sqref="Y53:Y58">
    <cfRule type="cellIs" dxfId="54" priority="52" operator="equal">
      <formula>"Muy Alta"</formula>
    </cfRule>
    <cfRule type="cellIs" dxfId="53" priority="53" operator="equal">
      <formula>"Alta"</formula>
    </cfRule>
    <cfRule type="cellIs" dxfId="52" priority="54" operator="equal">
      <formula>"Media"</formula>
    </cfRule>
    <cfRule type="cellIs" dxfId="51" priority="55" operator="equal">
      <formula>"Baja"</formula>
    </cfRule>
    <cfRule type="cellIs" dxfId="50" priority="56" operator="equal">
      <formula>"Muy Baja"</formula>
    </cfRule>
  </conditionalFormatting>
  <conditionalFormatting sqref="AA53:AA58">
    <cfRule type="cellIs" dxfId="49" priority="47" operator="equal">
      <formula>"Catastrófico"</formula>
    </cfRule>
    <cfRule type="cellIs" dxfId="48" priority="48" operator="equal">
      <formula>"Mayor"</formula>
    </cfRule>
    <cfRule type="cellIs" dxfId="47" priority="49" operator="equal">
      <formula>"Moderado"</formula>
    </cfRule>
    <cfRule type="cellIs" dxfId="46" priority="50" operator="equal">
      <formula>"Menor"</formula>
    </cfRule>
    <cfRule type="cellIs" dxfId="45" priority="51" operator="equal">
      <formula>"Leve"</formula>
    </cfRule>
  </conditionalFormatting>
  <conditionalFormatting sqref="AC53:AC58">
    <cfRule type="cellIs" dxfId="44" priority="43" operator="equal">
      <formula>"Extremo"</formula>
    </cfRule>
    <cfRule type="cellIs" dxfId="43" priority="44" operator="equal">
      <formula>"Alto"</formula>
    </cfRule>
    <cfRule type="cellIs" dxfId="42" priority="45" operator="equal">
      <formula>"Moderado"</formula>
    </cfRule>
    <cfRule type="cellIs" dxfId="41" priority="46" operator="equal">
      <formula>"Bajo"</formula>
    </cfRule>
  </conditionalFormatting>
  <conditionalFormatting sqref="H59">
    <cfRule type="cellIs" dxfId="40" priority="38" operator="equal">
      <formula>"Muy Alta"</formula>
    </cfRule>
    <cfRule type="cellIs" dxfId="39" priority="39" operator="equal">
      <formula>"Alta"</formula>
    </cfRule>
    <cfRule type="cellIs" dxfId="38" priority="40" operator="equal">
      <formula>"Media"</formula>
    </cfRule>
    <cfRule type="cellIs" dxfId="37" priority="41" operator="equal">
      <formula>"Baja"</formula>
    </cfRule>
    <cfRule type="cellIs" dxfId="36" priority="42" operator="equal">
      <formula>"Muy Baja"</formula>
    </cfRule>
  </conditionalFormatting>
  <conditionalFormatting sqref="N59">
    <cfRule type="cellIs" dxfId="35" priority="29" operator="equal">
      <formula>"Extremo"</formula>
    </cfRule>
    <cfRule type="cellIs" dxfId="34" priority="30" operator="equal">
      <formula>"Alto"</formula>
    </cfRule>
    <cfRule type="cellIs" dxfId="33" priority="31" operator="equal">
      <formula>"Moderado"</formula>
    </cfRule>
    <cfRule type="cellIs" dxfId="32" priority="32" operator="equal">
      <formula>"Bajo"</formula>
    </cfRule>
  </conditionalFormatting>
  <conditionalFormatting sqref="Y59:Y64">
    <cfRule type="cellIs" dxfId="31" priority="24" operator="equal">
      <formula>"Muy Alta"</formula>
    </cfRule>
    <cfRule type="cellIs" dxfId="30" priority="25" operator="equal">
      <formula>"Alta"</formula>
    </cfRule>
    <cfRule type="cellIs" dxfId="29" priority="26" operator="equal">
      <formula>"Media"</formula>
    </cfRule>
    <cfRule type="cellIs" dxfId="28" priority="27" operator="equal">
      <formula>"Baja"</formula>
    </cfRule>
    <cfRule type="cellIs" dxfId="27" priority="28" operator="equal">
      <formula>"Muy Baja"</formula>
    </cfRule>
  </conditionalFormatting>
  <conditionalFormatting sqref="AA59:AA64">
    <cfRule type="cellIs" dxfId="26" priority="19" operator="equal">
      <formula>"Catastrófico"</formula>
    </cfRule>
    <cfRule type="cellIs" dxfId="25" priority="20" operator="equal">
      <formula>"Mayor"</formula>
    </cfRule>
    <cfRule type="cellIs" dxfId="24" priority="21" operator="equal">
      <formula>"Moderado"</formula>
    </cfRule>
    <cfRule type="cellIs" dxfId="23" priority="22" operator="equal">
      <formula>"Menor"</formula>
    </cfRule>
    <cfRule type="cellIs" dxfId="22" priority="23" operator="equal">
      <formula>"Leve"</formula>
    </cfRule>
  </conditionalFormatting>
  <conditionalFormatting sqref="AC59:AC64">
    <cfRule type="cellIs" dxfId="21" priority="15" operator="equal">
      <formula>"Extremo"</formula>
    </cfRule>
    <cfRule type="cellIs" dxfId="20" priority="16" operator="equal">
      <formula>"Alto"</formula>
    </cfRule>
    <cfRule type="cellIs" dxfId="19" priority="17" operator="equal">
      <formula>"Moderado"</formula>
    </cfRule>
    <cfRule type="cellIs" dxfId="18" priority="18" operator="equal">
      <formula>"Bajo"</formula>
    </cfRule>
  </conditionalFormatting>
  <conditionalFormatting sqref="K10:K64">
    <cfRule type="containsText" dxfId="17" priority="14" operator="containsText" text="❌">
      <formula>NOT(ISERROR(SEARCH("❌",K10)))</formula>
    </cfRule>
  </conditionalFormatting>
  <conditionalFormatting sqref="H10">
    <cfRule type="cellIs" dxfId="16" priority="9" operator="equal">
      <formula>"Muy Alta"</formula>
    </cfRule>
    <cfRule type="cellIs" dxfId="15" priority="10" operator="equal">
      <formula>"Alta"</formula>
    </cfRule>
    <cfRule type="cellIs" dxfId="14" priority="11" operator="equal">
      <formula>"Media"</formula>
    </cfRule>
    <cfRule type="cellIs" dxfId="13" priority="12" operator="equal">
      <formula>"Baja"</formula>
    </cfRule>
    <cfRule type="cellIs" dxfId="12" priority="13" operator="equal">
      <formula>"Muy Baja"</formula>
    </cfRule>
  </conditionalFormatting>
  <conditionalFormatting sqref="Y15">
    <cfRule type="cellIs" dxfId="11" priority="1" operator="equal">
      <formula>"Extremo"</formula>
    </cfRule>
    <cfRule type="cellIs" dxfId="10" priority="2" operator="equal">
      <formula>"Alto"</formula>
    </cfRule>
    <cfRule type="cellIs" dxfId="9" priority="3" operator="equal">
      <formula>"Moderado"</formula>
    </cfRule>
    <cfRule type="cellIs" dxfId="8" priority="4" operator="equal">
      <formula>"Bajo"</formula>
    </cfRule>
  </conditionalFormatting>
  <conditionalFormatting sqref="AA15">
    <cfRule type="cellIs" dxfId="7" priority="5" operator="equal">
      <formula>"Extremo"</formula>
    </cfRule>
    <cfRule type="cellIs" dxfId="6" priority="6" operator="equal">
      <formula>"Alto"</formula>
    </cfRule>
    <cfRule type="cellIs" dxfId="5" priority="7" operator="equal">
      <formula>"Moderado"</formula>
    </cfRule>
    <cfRule type="cellIs" dxfId="4" priority="8"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AJ10:AJ11 AJ13 AJ15:AJ16 AJ18:AJ19 AJ21:AJ24 AJ26:AJ27 AJ29:AJ30 AJ32:AJ33 AJ35:AJ36 AJ38:AJ39 AJ41:AJ42 AJ44:AJ45 AJ47:AJ48 AJ50:AJ51 AJ53:AJ54 AJ56:AJ57 AJ59:AJ60 AJ62:AJ63</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AE24:AE64 AE10 AE15:AE22</xm:sqref>
        </x14:dataValidation>
        <x14:dataValidation type="list" allowBlank="1" showInputMessage="1" showErrorMessage="1">
          <x14:formula1>
            <xm:f>'Tabla Valoración controles'!$D$4:$D$6</xm:f>
          </x14:formula1>
          <xm:sqref>R10:R64</xm:sqref>
        </x14:dataValidation>
        <x14:dataValidation type="list" allowBlank="1" showInputMessage="1" showErrorMessage="1">
          <x14:formula1>
            <xm:f>'Tabla Valoración controles'!$D$7:$D$8</xm:f>
          </x14:formula1>
          <xm:sqref>S10:S64</xm:sqref>
        </x14:dataValidation>
        <x14:dataValidation type="list" allowBlank="1" showInputMessage="1" showErrorMessage="1">
          <x14:formula1>
            <xm:f>'Tabla Valoración controles'!$D$9:$D$10</xm:f>
          </x14:formula1>
          <xm:sqref>U10:U64</xm:sqref>
        </x14:dataValidation>
        <x14:dataValidation type="list" allowBlank="1" showInputMessage="1" showErrorMessage="1">
          <x14:formula1>
            <xm:f>'Tabla Valoración controles'!$D$11:$D$12</xm:f>
          </x14:formula1>
          <xm:sqref>V10:V64</xm:sqref>
        </x14:dataValidation>
        <x14:dataValidation type="list" allowBlank="1" showInputMessage="1" showErrorMessage="1">
          <x14:formula1>
            <xm:f>'Tabla Valoración controles'!$D$13:$D$14</xm:f>
          </x14:formula1>
          <xm:sqref>W10:W64</xm:sqref>
        </x14:dataValidation>
        <x14:dataValidation type="list" allowBlank="1" showInputMessage="1" showErrorMessage="1">
          <x14:formula1>
            <xm:f>'Opciones Tratamiento'!$B$13:$B$19</xm:f>
          </x14:formula1>
          <xm:sqref>F10:F64</xm:sqref>
        </x14:dataValidation>
        <x14:dataValidation type="list" allowBlank="1" showInputMessage="1" showErrorMessage="1">
          <x14:formula1>
            <xm:f>'Opciones Tratamiento'!$E$2:$E$4</xm:f>
          </x14:formula1>
          <xm:sqref>B10:B64</xm:sqref>
        </x14:dataValidation>
        <x14:dataValidation type="list" allowBlank="1" showInputMessage="1" showErrorMessage="1">
          <x14:formula1>
            <xm:f>'Opciones Tratamiento'!$B$2:$B$5</xm:f>
          </x14:formula1>
          <xm:sqref>AD10:AD64</xm:sqref>
        </x14:dataValidation>
        <x14:dataValidation type="list" allowBlank="1" showInputMessage="1" showErrorMessage="1">
          <x14:formula1>
            <xm:f>'Tabla Impacto'!$F$210:$F$221</xm:f>
          </x14:formula1>
          <xm:sqref>J10:J64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AH10:AH64</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255" t="s">
        <v>161</v>
      </c>
      <c r="C2" s="255"/>
      <c r="D2" s="255"/>
      <c r="E2" s="255"/>
      <c r="F2" s="255"/>
      <c r="G2" s="255"/>
      <c r="H2" s="255"/>
      <c r="I2" s="255"/>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255"/>
      <c r="C3" s="255"/>
      <c r="D3" s="255"/>
      <c r="E3" s="255"/>
      <c r="F3" s="255"/>
      <c r="G3" s="255"/>
      <c r="H3" s="255"/>
      <c r="I3" s="255"/>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255"/>
      <c r="C4" s="255"/>
      <c r="D4" s="255"/>
      <c r="E4" s="255"/>
      <c r="F4" s="255"/>
      <c r="G4" s="255"/>
      <c r="H4" s="255"/>
      <c r="I4" s="255"/>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305" t="s">
        <v>4</v>
      </c>
      <c r="C6" s="305"/>
      <c r="D6" s="306"/>
      <c r="E6" s="294" t="s">
        <v>116</v>
      </c>
      <c r="F6" s="295"/>
      <c r="G6" s="295"/>
      <c r="H6" s="295"/>
      <c r="I6" s="296"/>
      <c r="J6" s="290" t="str">
        <f>IF(AND('Mapa final'!$H$10="Muy Alta",'Mapa final'!$L$10="Leve"),CONCATENATE("R",'Mapa final'!$A$10),"")</f>
        <v/>
      </c>
      <c r="K6" s="291"/>
      <c r="L6" s="291" t="str">
        <f>IF(AND('Mapa final'!$H$15="Muy Alta",'Mapa final'!$L$15="Leve"),CONCATENATE("R",'Mapa final'!$A$15),"")</f>
        <v/>
      </c>
      <c r="M6" s="291"/>
      <c r="N6" s="291" t="str">
        <f>IF(AND('Mapa final'!$H$21="Muy Alta",'Mapa final'!$L$21="Leve"),CONCATENATE("R",'Mapa final'!$A$21),"")</f>
        <v/>
      </c>
      <c r="O6" s="292"/>
      <c r="P6" s="290" t="str">
        <f>IF(AND('Mapa final'!$H$10="Muy Alta",'Mapa final'!$L$10="Menor"),CONCATENATE("R",'Mapa final'!$A$10),"")</f>
        <v/>
      </c>
      <c r="Q6" s="291"/>
      <c r="R6" s="291" t="str">
        <f>IF(AND('Mapa final'!$H$15="Muy Alta",'Mapa final'!$L$15="Menor"),CONCATENATE("R",'Mapa final'!$A$15),"")</f>
        <v/>
      </c>
      <c r="S6" s="291"/>
      <c r="T6" s="291" t="str">
        <f>IF(AND('Mapa final'!$H$21="Muy Alta",'Mapa final'!$L$21="Menor"),CONCATENATE("R",'Mapa final'!$A$21),"")</f>
        <v/>
      </c>
      <c r="U6" s="292"/>
      <c r="V6" s="290" t="str">
        <f>IF(AND('Mapa final'!$H$10="Muy Alta",'Mapa final'!$L$10="Moderado"),CONCATENATE("R",'Mapa final'!$A$10),"")</f>
        <v/>
      </c>
      <c r="W6" s="291"/>
      <c r="X6" s="291" t="str">
        <f>IF(AND('Mapa final'!$H$15="Muy Alta",'Mapa final'!$L$15="Moderado"),CONCATENATE("R",'Mapa final'!$A$15),"")</f>
        <v/>
      </c>
      <c r="Y6" s="291"/>
      <c r="Z6" s="291" t="str">
        <f>IF(AND('Mapa final'!$H$21="Muy Alta",'Mapa final'!$L$21="Moderado"),CONCATENATE("R",'Mapa final'!$A$21),"")</f>
        <v/>
      </c>
      <c r="AA6" s="292"/>
      <c r="AB6" s="290" t="str">
        <f>IF(AND('Mapa final'!$H$10="Muy Alta",'Mapa final'!$L$10="Mayor"),CONCATENATE("R",'Mapa final'!$A$10),"")</f>
        <v/>
      </c>
      <c r="AC6" s="291"/>
      <c r="AD6" s="291" t="str">
        <f>IF(AND('Mapa final'!$H$15="Muy Alta",'Mapa final'!$L$15="Mayor"),CONCATENATE("R",'Mapa final'!$A$15),"")</f>
        <v/>
      </c>
      <c r="AE6" s="291"/>
      <c r="AF6" s="291" t="str">
        <f>IF(AND('Mapa final'!$H$21="Muy Alta",'Mapa final'!$L$21="Mayor"),CONCATENATE("R",'Mapa final'!$A$21),"")</f>
        <v/>
      </c>
      <c r="AG6" s="292"/>
      <c r="AH6" s="280" t="str">
        <f>IF(AND('Mapa final'!$H$10="Muy Alta",'Mapa final'!$L$10="Catastrófico"),CONCATENATE("R",'Mapa final'!$A$10),"")</f>
        <v/>
      </c>
      <c r="AI6" s="281"/>
      <c r="AJ6" s="281" t="str">
        <f>IF(AND('Mapa final'!$H$15="Muy Alta",'Mapa final'!$L$15="Catastrófico"),CONCATENATE("R",'Mapa final'!$A$15),"")</f>
        <v/>
      </c>
      <c r="AK6" s="281"/>
      <c r="AL6" s="281" t="str">
        <f>IF(AND('Mapa final'!$H$21="Muy Alta",'Mapa final'!$L$21="Catastrófico"),CONCATENATE("R",'Mapa final'!$A$21),"")</f>
        <v/>
      </c>
      <c r="AM6" s="282"/>
      <c r="AO6" s="307" t="s">
        <v>79</v>
      </c>
      <c r="AP6" s="308"/>
      <c r="AQ6" s="308"/>
      <c r="AR6" s="308"/>
      <c r="AS6" s="308"/>
      <c r="AT6" s="309"/>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305"/>
      <c r="C7" s="305"/>
      <c r="D7" s="306"/>
      <c r="E7" s="297"/>
      <c r="F7" s="298"/>
      <c r="G7" s="298"/>
      <c r="H7" s="298"/>
      <c r="I7" s="299"/>
      <c r="J7" s="283"/>
      <c r="K7" s="284"/>
      <c r="L7" s="284"/>
      <c r="M7" s="284"/>
      <c r="N7" s="284"/>
      <c r="O7" s="286"/>
      <c r="P7" s="283"/>
      <c r="Q7" s="284"/>
      <c r="R7" s="284"/>
      <c r="S7" s="284"/>
      <c r="T7" s="284"/>
      <c r="U7" s="286"/>
      <c r="V7" s="283"/>
      <c r="W7" s="284"/>
      <c r="X7" s="284"/>
      <c r="Y7" s="284"/>
      <c r="Z7" s="284"/>
      <c r="AA7" s="286"/>
      <c r="AB7" s="283"/>
      <c r="AC7" s="284"/>
      <c r="AD7" s="284"/>
      <c r="AE7" s="284"/>
      <c r="AF7" s="284"/>
      <c r="AG7" s="286"/>
      <c r="AH7" s="274"/>
      <c r="AI7" s="275"/>
      <c r="AJ7" s="275"/>
      <c r="AK7" s="275"/>
      <c r="AL7" s="275"/>
      <c r="AM7" s="276"/>
      <c r="AN7" s="84"/>
      <c r="AO7" s="310"/>
      <c r="AP7" s="311"/>
      <c r="AQ7" s="311"/>
      <c r="AR7" s="311"/>
      <c r="AS7" s="311"/>
      <c r="AT7" s="312"/>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305"/>
      <c r="C8" s="305"/>
      <c r="D8" s="306"/>
      <c r="E8" s="297"/>
      <c r="F8" s="298"/>
      <c r="G8" s="298"/>
      <c r="H8" s="298"/>
      <c r="I8" s="299"/>
      <c r="J8" s="283" t="str">
        <f>IF(AND('Mapa final'!$H$23="Muy Alta",'Mapa final'!$L$23="Leve"),CONCATENATE("R",'Mapa final'!$A$23),"")</f>
        <v/>
      </c>
      <c r="K8" s="284"/>
      <c r="L8" s="285" t="str">
        <f ca="1">IF(AND('Mapa final'!$H$29="Muy Alta",'Mapa final'!$L$29="Leve"),CONCATENATE("R",'Mapa final'!$A$29),"")</f>
        <v/>
      </c>
      <c r="M8" s="285"/>
      <c r="N8" s="285" t="str">
        <f ca="1">IF(AND('Mapa final'!$H$35="Muy Alta",'Mapa final'!$L$35="Leve"),CONCATENATE("R",'Mapa final'!$A$35),"")</f>
        <v/>
      </c>
      <c r="O8" s="286"/>
      <c r="P8" s="283" t="str">
        <f>IF(AND('Mapa final'!$H$23="Muy Alta",'Mapa final'!$L$23="Menor"),CONCATENATE("R",'Mapa final'!$A$23),"")</f>
        <v/>
      </c>
      <c r="Q8" s="284"/>
      <c r="R8" s="285" t="str">
        <f ca="1">IF(AND('Mapa final'!$H$29="Muy Alta",'Mapa final'!$L$29="Menor"),CONCATENATE("R",'Mapa final'!$A$29),"")</f>
        <v/>
      </c>
      <c r="S8" s="285"/>
      <c r="T8" s="285" t="str">
        <f ca="1">IF(AND('Mapa final'!$H$35="Muy Alta",'Mapa final'!$L$35="Menor"),CONCATENATE("R",'Mapa final'!$A$35),"")</f>
        <v/>
      </c>
      <c r="U8" s="286"/>
      <c r="V8" s="283" t="str">
        <f>IF(AND('Mapa final'!$H$23="Muy Alta",'Mapa final'!$L$23="Moderado"),CONCATENATE("R",'Mapa final'!$A$23),"")</f>
        <v/>
      </c>
      <c r="W8" s="284"/>
      <c r="X8" s="285" t="str">
        <f ca="1">IF(AND('Mapa final'!$H$29="Muy Alta",'Mapa final'!$L$29="Moderado"),CONCATENATE("R",'Mapa final'!$A$29),"")</f>
        <v/>
      </c>
      <c r="Y8" s="285"/>
      <c r="Z8" s="285" t="str">
        <f ca="1">IF(AND('Mapa final'!$H$35="Muy Alta",'Mapa final'!$L$35="Moderado"),CONCATENATE("R",'Mapa final'!$A$35),"")</f>
        <v/>
      </c>
      <c r="AA8" s="286"/>
      <c r="AB8" s="283" t="str">
        <f>IF(AND('Mapa final'!$H$23="Muy Alta",'Mapa final'!$L$23="Mayor"),CONCATENATE("R",'Mapa final'!$A$23),"")</f>
        <v>R4</v>
      </c>
      <c r="AC8" s="284"/>
      <c r="AD8" s="285" t="str">
        <f ca="1">IF(AND('Mapa final'!$H$29="Muy Alta",'Mapa final'!$L$29="Mayor"),CONCATENATE("R",'Mapa final'!$A$29),"")</f>
        <v/>
      </c>
      <c r="AE8" s="285"/>
      <c r="AF8" s="285" t="str">
        <f ca="1">IF(AND('Mapa final'!$H$35="Muy Alta",'Mapa final'!$L$35="Mayor"),CONCATENATE("R",'Mapa final'!$A$35),"")</f>
        <v/>
      </c>
      <c r="AG8" s="286"/>
      <c r="AH8" s="274" t="str">
        <f>IF(AND('Mapa final'!$H$23="Muy Alta",'Mapa final'!$L$23="Catastrófico"),CONCATENATE("R",'Mapa final'!$A$23),"")</f>
        <v/>
      </c>
      <c r="AI8" s="275"/>
      <c r="AJ8" s="275" t="str">
        <f ca="1">IF(AND('Mapa final'!$H$29="Muy Alta",'Mapa final'!$L$29="Catastrófico"),CONCATENATE("R",'Mapa final'!$A$29),"")</f>
        <v/>
      </c>
      <c r="AK8" s="275"/>
      <c r="AL8" s="275" t="str">
        <f ca="1">IF(AND('Mapa final'!$H$35="Muy Alta",'Mapa final'!$L$35="Catastrófico"),CONCATENATE("R",'Mapa final'!$A$35),"")</f>
        <v/>
      </c>
      <c r="AM8" s="276"/>
      <c r="AN8" s="84"/>
      <c r="AO8" s="310"/>
      <c r="AP8" s="311"/>
      <c r="AQ8" s="311"/>
      <c r="AR8" s="311"/>
      <c r="AS8" s="311"/>
      <c r="AT8" s="312"/>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305"/>
      <c r="C9" s="305"/>
      <c r="D9" s="306"/>
      <c r="E9" s="297"/>
      <c r="F9" s="298"/>
      <c r="G9" s="298"/>
      <c r="H9" s="298"/>
      <c r="I9" s="299"/>
      <c r="J9" s="283"/>
      <c r="K9" s="284"/>
      <c r="L9" s="285"/>
      <c r="M9" s="285"/>
      <c r="N9" s="285"/>
      <c r="O9" s="286"/>
      <c r="P9" s="283"/>
      <c r="Q9" s="284"/>
      <c r="R9" s="285"/>
      <c r="S9" s="285"/>
      <c r="T9" s="285"/>
      <c r="U9" s="286"/>
      <c r="V9" s="283"/>
      <c r="W9" s="284"/>
      <c r="X9" s="285"/>
      <c r="Y9" s="285"/>
      <c r="Z9" s="285"/>
      <c r="AA9" s="286"/>
      <c r="AB9" s="283"/>
      <c r="AC9" s="284"/>
      <c r="AD9" s="285"/>
      <c r="AE9" s="285"/>
      <c r="AF9" s="285"/>
      <c r="AG9" s="286"/>
      <c r="AH9" s="274"/>
      <c r="AI9" s="275"/>
      <c r="AJ9" s="275"/>
      <c r="AK9" s="275"/>
      <c r="AL9" s="275"/>
      <c r="AM9" s="276"/>
      <c r="AN9" s="84"/>
      <c r="AO9" s="310"/>
      <c r="AP9" s="311"/>
      <c r="AQ9" s="311"/>
      <c r="AR9" s="311"/>
      <c r="AS9" s="311"/>
      <c r="AT9" s="312"/>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305"/>
      <c r="C10" s="305"/>
      <c r="D10" s="306"/>
      <c r="E10" s="297"/>
      <c r="F10" s="298"/>
      <c r="G10" s="298"/>
      <c r="H10" s="298"/>
      <c r="I10" s="299"/>
      <c r="J10" s="283" t="str">
        <f ca="1">IF(AND('Mapa final'!$H$41="Muy Alta",'Mapa final'!$L$41="Leve"),CONCATENATE("R",'Mapa final'!$A$41),"")</f>
        <v/>
      </c>
      <c r="K10" s="284"/>
      <c r="L10" s="285" t="str">
        <f ca="1">IF(AND('Mapa final'!$H$47="Muy Alta",'Mapa final'!$L$47="Leve"),CONCATENATE("R",'Mapa final'!$A$47),"")</f>
        <v/>
      </c>
      <c r="M10" s="285"/>
      <c r="N10" s="285" t="str">
        <f ca="1">IF(AND('Mapa final'!$H$53="Muy Alta",'Mapa final'!$L$53="Leve"),CONCATENATE("R",'Mapa final'!$A$53),"")</f>
        <v/>
      </c>
      <c r="O10" s="286"/>
      <c r="P10" s="283" t="str">
        <f ca="1">IF(AND('Mapa final'!$H$41="Muy Alta",'Mapa final'!$L$41="Menor"),CONCATENATE("R",'Mapa final'!$A$41),"")</f>
        <v/>
      </c>
      <c r="Q10" s="284"/>
      <c r="R10" s="285" t="str">
        <f ca="1">IF(AND('Mapa final'!$H$47="Muy Alta",'Mapa final'!$L$47="Menor"),CONCATENATE("R",'Mapa final'!$A$47),"")</f>
        <v/>
      </c>
      <c r="S10" s="285"/>
      <c r="T10" s="285" t="str">
        <f ca="1">IF(AND('Mapa final'!$H$53="Muy Alta",'Mapa final'!$L$53="Menor"),CONCATENATE("R",'Mapa final'!$A$53),"")</f>
        <v/>
      </c>
      <c r="U10" s="286"/>
      <c r="V10" s="283" t="str">
        <f ca="1">IF(AND('Mapa final'!$H$41="Muy Alta",'Mapa final'!$L$41="Moderado"),CONCATENATE("R",'Mapa final'!$A$41),"")</f>
        <v/>
      </c>
      <c r="W10" s="284"/>
      <c r="X10" s="285" t="str">
        <f ca="1">IF(AND('Mapa final'!$H$47="Muy Alta",'Mapa final'!$L$47="Moderado"),CONCATENATE("R",'Mapa final'!$A$47),"")</f>
        <v/>
      </c>
      <c r="Y10" s="285"/>
      <c r="Z10" s="285" t="str">
        <f ca="1">IF(AND('Mapa final'!$H$53="Muy Alta",'Mapa final'!$L$53="Moderado"),CONCATENATE("R",'Mapa final'!$A$53),"")</f>
        <v/>
      </c>
      <c r="AA10" s="286"/>
      <c r="AB10" s="283" t="str">
        <f ca="1">IF(AND('Mapa final'!$H$41="Muy Alta",'Mapa final'!$L$41="Mayor"),CONCATENATE("R",'Mapa final'!$A$41),"")</f>
        <v/>
      </c>
      <c r="AC10" s="284"/>
      <c r="AD10" s="285" t="str">
        <f ca="1">IF(AND('Mapa final'!$H$47="Muy Alta",'Mapa final'!$L$47="Mayor"),CONCATENATE("R",'Mapa final'!$A$47),"")</f>
        <v/>
      </c>
      <c r="AE10" s="285"/>
      <c r="AF10" s="285" t="str">
        <f ca="1">IF(AND('Mapa final'!$H$53="Muy Alta",'Mapa final'!$L$53="Mayor"),CONCATENATE("R",'Mapa final'!$A$53),"")</f>
        <v/>
      </c>
      <c r="AG10" s="286"/>
      <c r="AH10" s="274" t="str">
        <f ca="1">IF(AND('Mapa final'!$H$41="Muy Alta",'Mapa final'!$L$41="Catastrófico"),CONCATENATE("R",'Mapa final'!$A$41),"")</f>
        <v/>
      </c>
      <c r="AI10" s="275"/>
      <c r="AJ10" s="275" t="str">
        <f ca="1">IF(AND('Mapa final'!$H$47="Muy Alta",'Mapa final'!$L$47="Catastrófico"),CONCATENATE("R",'Mapa final'!$A$47),"")</f>
        <v/>
      </c>
      <c r="AK10" s="275"/>
      <c r="AL10" s="275" t="str">
        <f ca="1">IF(AND('Mapa final'!$H$53="Muy Alta",'Mapa final'!$L$53="Catastrófico"),CONCATENATE("R",'Mapa final'!$A$53),"")</f>
        <v/>
      </c>
      <c r="AM10" s="276"/>
      <c r="AN10" s="84"/>
      <c r="AO10" s="310"/>
      <c r="AP10" s="311"/>
      <c r="AQ10" s="311"/>
      <c r="AR10" s="311"/>
      <c r="AS10" s="311"/>
      <c r="AT10" s="312"/>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305"/>
      <c r="C11" s="305"/>
      <c r="D11" s="306"/>
      <c r="E11" s="297"/>
      <c r="F11" s="298"/>
      <c r="G11" s="298"/>
      <c r="H11" s="298"/>
      <c r="I11" s="299"/>
      <c r="J11" s="283"/>
      <c r="K11" s="284"/>
      <c r="L11" s="285"/>
      <c r="M11" s="285"/>
      <c r="N11" s="285"/>
      <c r="O11" s="286"/>
      <c r="P11" s="283"/>
      <c r="Q11" s="284"/>
      <c r="R11" s="285"/>
      <c r="S11" s="285"/>
      <c r="T11" s="285"/>
      <c r="U11" s="286"/>
      <c r="V11" s="283"/>
      <c r="W11" s="284"/>
      <c r="X11" s="285"/>
      <c r="Y11" s="285"/>
      <c r="Z11" s="285"/>
      <c r="AA11" s="286"/>
      <c r="AB11" s="283"/>
      <c r="AC11" s="284"/>
      <c r="AD11" s="285"/>
      <c r="AE11" s="285"/>
      <c r="AF11" s="285"/>
      <c r="AG11" s="286"/>
      <c r="AH11" s="274"/>
      <c r="AI11" s="275"/>
      <c r="AJ11" s="275"/>
      <c r="AK11" s="275"/>
      <c r="AL11" s="275"/>
      <c r="AM11" s="276"/>
      <c r="AN11" s="84"/>
      <c r="AO11" s="310"/>
      <c r="AP11" s="311"/>
      <c r="AQ11" s="311"/>
      <c r="AR11" s="311"/>
      <c r="AS11" s="311"/>
      <c r="AT11" s="312"/>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305"/>
      <c r="C12" s="305"/>
      <c r="D12" s="306"/>
      <c r="E12" s="297"/>
      <c r="F12" s="298"/>
      <c r="G12" s="298"/>
      <c r="H12" s="298"/>
      <c r="I12" s="299"/>
      <c r="J12" s="283" t="str">
        <f ca="1">IF(AND('Mapa final'!$H$59="Muy Alta",'Mapa final'!$L$59="Leve"),CONCATENATE("R",'Mapa final'!$A$59),"")</f>
        <v/>
      </c>
      <c r="K12" s="284"/>
      <c r="L12" s="285" t="str">
        <f>IF(AND('Mapa final'!$H$65="Muy Alta",'Mapa final'!$L$65="Leve"),CONCATENATE("R",'Mapa final'!$A$65),"")</f>
        <v/>
      </c>
      <c r="M12" s="285"/>
      <c r="N12" s="285" t="str">
        <f>IF(AND('Mapa final'!$H$71="Muy Alta",'Mapa final'!$L$71="Leve"),CONCATENATE("R",'Mapa final'!$A$71),"")</f>
        <v/>
      </c>
      <c r="O12" s="286"/>
      <c r="P12" s="283" t="str">
        <f ca="1">IF(AND('Mapa final'!$H$59="Muy Alta",'Mapa final'!$L$59="Menor"),CONCATENATE("R",'Mapa final'!$A$59),"")</f>
        <v/>
      </c>
      <c r="Q12" s="284"/>
      <c r="R12" s="285" t="str">
        <f>IF(AND('Mapa final'!$H$65="Muy Alta",'Mapa final'!$L$65="Menor"),CONCATENATE("R",'Mapa final'!$A$65),"")</f>
        <v/>
      </c>
      <c r="S12" s="285"/>
      <c r="T12" s="285" t="str">
        <f>IF(AND('Mapa final'!$H$71="Muy Alta",'Mapa final'!$L$71="Menor"),CONCATENATE("R",'Mapa final'!$A$71),"")</f>
        <v/>
      </c>
      <c r="U12" s="286"/>
      <c r="V12" s="283" t="str">
        <f ca="1">IF(AND('Mapa final'!$H$59="Muy Alta",'Mapa final'!$L$59="Moderado"),CONCATENATE("R",'Mapa final'!$A$59),"")</f>
        <v/>
      </c>
      <c r="W12" s="284"/>
      <c r="X12" s="285" t="str">
        <f>IF(AND('Mapa final'!$H$65="Muy Alta",'Mapa final'!$L$65="Moderado"),CONCATENATE("R",'Mapa final'!$A$65),"")</f>
        <v/>
      </c>
      <c r="Y12" s="285"/>
      <c r="Z12" s="285" t="str">
        <f>IF(AND('Mapa final'!$H$71="Muy Alta",'Mapa final'!$L$71="Moderado"),CONCATENATE("R",'Mapa final'!$A$71),"")</f>
        <v/>
      </c>
      <c r="AA12" s="286"/>
      <c r="AB12" s="283" t="str">
        <f ca="1">IF(AND('Mapa final'!$H$59="Muy Alta",'Mapa final'!$L$59="Mayor"),CONCATENATE("R",'Mapa final'!$A$59),"")</f>
        <v/>
      </c>
      <c r="AC12" s="284"/>
      <c r="AD12" s="285" t="str">
        <f>IF(AND('Mapa final'!$H$65="Muy Alta",'Mapa final'!$L$65="Mayor"),CONCATENATE("R",'Mapa final'!$A$65),"")</f>
        <v/>
      </c>
      <c r="AE12" s="285"/>
      <c r="AF12" s="285" t="str">
        <f>IF(AND('Mapa final'!$H$71="Muy Alta",'Mapa final'!$L$71="Mayor"),CONCATENATE("R",'Mapa final'!$A$71),"")</f>
        <v/>
      </c>
      <c r="AG12" s="286"/>
      <c r="AH12" s="274" t="str">
        <f ca="1">IF(AND('Mapa final'!$H$59="Muy Alta",'Mapa final'!$L$59="Catastrófico"),CONCATENATE("R",'Mapa final'!$A$59),"")</f>
        <v/>
      </c>
      <c r="AI12" s="275"/>
      <c r="AJ12" s="275" t="str">
        <f>IF(AND('Mapa final'!$H$65="Muy Alta",'Mapa final'!$L$65="Catastrófico"),CONCATENATE("R",'Mapa final'!$A$65),"")</f>
        <v/>
      </c>
      <c r="AK12" s="275"/>
      <c r="AL12" s="275" t="str">
        <f>IF(AND('Mapa final'!$H$71="Muy Alta",'Mapa final'!$L$71="Catastrófico"),CONCATENATE("R",'Mapa final'!$A$71),"")</f>
        <v/>
      </c>
      <c r="AM12" s="276"/>
      <c r="AN12" s="84"/>
      <c r="AO12" s="310"/>
      <c r="AP12" s="311"/>
      <c r="AQ12" s="311"/>
      <c r="AR12" s="311"/>
      <c r="AS12" s="311"/>
      <c r="AT12" s="312"/>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305"/>
      <c r="C13" s="305"/>
      <c r="D13" s="306"/>
      <c r="E13" s="300"/>
      <c r="F13" s="301"/>
      <c r="G13" s="301"/>
      <c r="H13" s="301"/>
      <c r="I13" s="302"/>
      <c r="J13" s="283"/>
      <c r="K13" s="284"/>
      <c r="L13" s="284"/>
      <c r="M13" s="284"/>
      <c r="N13" s="284"/>
      <c r="O13" s="286"/>
      <c r="P13" s="283"/>
      <c r="Q13" s="284"/>
      <c r="R13" s="284"/>
      <c r="S13" s="284"/>
      <c r="T13" s="284"/>
      <c r="U13" s="286"/>
      <c r="V13" s="283"/>
      <c r="W13" s="284"/>
      <c r="X13" s="284"/>
      <c r="Y13" s="284"/>
      <c r="Z13" s="284"/>
      <c r="AA13" s="286"/>
      <c r="AB13" s="283"/>
      <c r="AC13" s="284"/>
      <c r="AD13" s="284"/>
      <c r="AE13" s="284"/>
      <c r="AF13" s="284"/>
      <c r="AG13" s="286"/>
      <c r="AH13" s="277"/>
      <c r="AI13" s="278"/>
      <c r="AJ13" s="278"/>
      <c r="AK13" s="278"/>
      <c r="AL13" s="278"/>
      <c r="AM13" s="279"/>
      <c r="AN13" s="84"/>
      <c r="AO13" s="313"/>
      <c r="AP13" s="314"/>
      <c r="AQ13" s="314"/>
      <c r="AR13" s="314"/>
      <c r="AS13" s="314"/>
      <c r="AT13" s="315"/>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305"/>
      <c r="C14" s="305"/>
      <c r="D14" s="306"/>
      <c r="E14" s="294" t="s">
        <v>115</v>
      </c>
      <c r="F14" s="295"/>
      <c r="G14" s="295"/>
      <c r="H14" s="295"/>
      <c r="I14" s="295"/>
      <c r="J14" s="271" t="str">
        <f>IF(AND('Mapa final'!$H$10="Alta",'Mapa final'!$L$10="Leve"),CONCATENATE("R",'Mapa final'!$A$10),"")</f>
        <v/>
      </c>
      <c r="K14" s="272"/>
      <c r="L14" s="272" t="str">
        <f>IF(AND('Mapa final'!$H$15="Alta",'Mapa final'!$L$15="Leve"),CONCATENATE("R",'Mapa final'!$A$15),"")</f>
        <v/>
      </c>
      <c r="M14" s="272"/>
      <c r="N14" s="272" t="str">
        <f>IF(AND('Mapa final'!$H$21="Alta",'Mapa final'!$L$21="Leve"),CONCATENATE("R",'Mapa final'!$A$21),"")</f>
        <v/>
      </c>
      <c r="O14" s="273"/>
      <c r="P14" s="271" t="str">
        <f>IF(AND('Mapa final'!$H$10="Alta",'Mapa final'!$L$10="Menor"),CONCATENATE("R",'Mapa final'!$A$10),"")</f>
        <v/>
      </c>
      <c r="Q14" s="272"/>
      <c r="R14" s="272" t="str">
        <f>IF(AND('Mapa final'!$H$15="Alta",'Mapa final'!$L$15="Menor"),CONCATENATE("R",'Mapa final'!$A$15),"")</f>
        <v/>
      </c>
      <c r="S14" s="272"/>
      <c r="T14" s="272" t="str">
        <f>IF(AND('Mapa final'!$H$21="Alta",'Mapa final'!$L$21="Menor"),CONCATENATE("R",'Mapa final'!$A$21),"")</f>
        <v/>
      </c>
      <c r="U14" s="273"/>
      <c r="V14" s="290" t="str">
        <f>IF(AND('Mapa final'!$H$10="Alta",'Mapa final'!$L$10="Moderado"),CONCATENATE("R",'Mapa final'!$A$10),"")</f>
        <v/>
      </c>
      <c r="W14" s="291"/>
      <c r="X14" s="291" t="str">
        <f>IF(AND('Mapa final'!$H$15="Alta",'Mapa final'!$L$15="Moderado"),CONCATENATE("R",'Mapa final'!$A$15),"")</f>
        <v/>
      </c>
      <c r="Y14" s="291"/>
      <c r="Z14" s="291" t="str">
        <f>IF(AND('Mapa final'!$H$21="Alta",'Mapa final'!$L$21="Moderado"),CONCATENATE("R",'Mapa final'!$A$21),"")</f>
        <v/>
      </c>
      <c r="AA14" s="292"/>
      <c r="AB14" s="290" t="str">
        <f>IF(AND('Mapa final'!$H$10="Alta",'Mapa final'!$L$10="Mayor"),CONCATENATE("R",'Mapa final'!$A$10),"")</f>
        <v>R1</v>
      </c>
      <c r="AC14" s="291"/>
      <c r="AD14" s="291" t="str">
        <f>IF(AND('Mapa final'!$H$15="Alta",'Mapa final'!$L$15="Mayor"),CONCATENATE("R",'Mapa final'!$A$15),"")</f>
        <v/>
      </c>
      <c r="AE14" s="291"/>
      <c r="AF14" s="291" t="str">
        <f>IF(AND('Mapa final'!$H$21="Alta",'Mapa final'!$L$21="Mayor"),CONCATENATE("R",'Mapa final'!$A$21),"")</f>
        <v>R3</v>
      </c>
      <c r="AG14" s="292"/>
      <c r="AH14" s="280" t="str">
        <f>IF(AND('Mapa final'!$H$10="Alta",'Mapa final'!$L$10="Catastrófico"),CONCATENATE("R",'Mapa final'!$A$10),"")</f>
        <v/>
      </c>
      <c r="AI14" s="281"/>
      <c r="AJ14" s="281" t="str">
        <f>IF(AND('Mapa final'!$H$15="Alta",'Mapa final'!$L$15="Catastrófico"),CONCATENATE("R",'Mapa final'!$A$15),"")</f>
        <v/>
      </c>
      <c r="AK14" s="281"/>
      <c r="AL14" s="281" t="str">
        <f>IF(AND('Mapa final'!$H$21="Alta",'Mapa final'!$L$21="Catastrófico"),CONCATENATE("R",'Mapa final'!$A$21),"")</f>
        <v/>
      </c>
      <c r="AM14" s="282"/>
      <c r="AN14" s="84"/>
      <c r="AO14" s="316" t="s">
        <v>80</v>
      </c>
      <c r="AP14" s="317"/>
      <c r="AQ14" s="317"/>
      <c r="AR14" s="317"/>
      <c r="AS14" s="317"/>
      <c r="AT14" s="318"/>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305"/>
      <c r="C15" s="305"/>
      <c r="D15" s="306"/>
      <c r="E15" s="297"/>
      <c r="F15" s="298"/>
      <c r="G15" s="298"/>
      <c r="H15" s="298"/>
      <c r="I15" s="303"/>
      <c r="J15" s="265"/>
      <c r="K15" s="266"/>
      <c r="L15" s="266"/>
      <c r="M15" s="266"/>
      <c r="N15" s="266"/>
      <c r="O15" s="267"/>
      <c r="P15" s="265"/>
      <c r="Q15" s="266"/>
      <c r="R15" s="266"/>
      <c r="S15" s="266"/>
      <c r="T15" s="266"/>
      <c r="U15" s="267"/>
      <c r="V15" s="283"/>
      <c r="W15" s="284"/>
      <c r="X15" s="284"/>
      <c r="Y15" s="284"/>
      <c r="Z15" s="284"/>
      <c r="AA15" s="286"/>
      <c r="AB15" s="283"/>
      <c r="AC15" s="284"/>
      <c r="AD15" s="284"/>
      <c r="AE15" s="284"/>
      <c r="AF15" s="284"/>
      <c r="AG15" s="286"/>
      <c r="AH15" s="274"/>
      <c r="AI15" s="275"/>
      <c r="AJ15" s="275"/>
      <c r="AK15" s="275"/>
      <c r="AL15" s="275"/>
      <c r="AM15" s="276"/>
      <c r="AN15" s="84"/>
      <c r="AO15" s="319"/>
      <c r="AP15" s="320"/>
      <c r="AQ15" s="320"/>
      <c r="AR15" s="320"/>
      <c r="AS15" s="320"/>
      <c r="AT15" s="321"/>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305"/>
      <c r="C16" s="305"/>
      <c r="D16" s="306"/>
      <c r="E16" s="297"/>
      <c r="F16" s="298"/>
      <c r="G16" s="298"/>
      <c r="H16" s="298"/>
      <c r="I16" s="303"/>
      <c r="J16" s="265" t="str">
        <f>IF(AND('Mapa final'!$H$23="Alta",'Mapa final'!$L$23="Leve"),CONCATENATE("R",'Mapa final'!$A$23),"")</f>
        <v/>
      </c>
      <c r="K16" s="266"/>
      <c r="L16" s="266" t="str">
        <f ca="1">IF(AND('Mapa final'!$H$29="Alta",'Mapa final'!$L$29="Leve"),CONCATENATE("R",'Mapa final'!$A$29),"")</f>
        <v/>
      </c>
      <c r="M16" s="266"/>
      <c r="N16" s="266" t="str">
        <f ca="1">IF(AND('Mapa final'!$H$35="Alta",'Mapa final'!$L$35="Leve"),CONCATENATE("R",'Mapa final'!$A$35),"")</f>
        <v/>
      </c>
      <c r="O16" s="267"/>
      <c r="P16" s="265" t="str">
        <f>IF(AND('Mapa final'!$H$23="Alta",'Mapa final'!$L$23="Menor"),CONCATENATE("R",'Mapa final'!$A$23),"")</f>
        <v/>
      </c>
      <c r="Q16" s="266"/>
      <c r="R16" s="266" t="str">
        <f ca="1">IF(AND('Mapa final'!$H$29="Alta",'Mapa final'!$L$29="Menor"),CONCATENATE("R",'Mapa final'!$A$29),"")</f>
        <v/>
      </c>
      <c r="S16" s="266"/>
      <c r="T16" s="266" t="str">
        <f ca="1">IF(AND('Mapa final'!$H$35="Alta",'Mapa final'!$L$35="Menor"),CONCATENATE("R",'Mapa final'!$A$35),"")</f>
        <v/>
      </c>
      <c r="U16" s="267"/>
      <c r="V16" s="283" t="str">
        <f>IF(AND('Mapa final'!$H$23="Alta",'Mapa final'!$L$23="Moderado"),CONCATENATE("R",'Mapa final'!$A$23),"")</f>
        <v/>
      </c>
      <c r="W16" s="284"/>
      <c r="X16" s="285" t="str">
        <f ca="1">IF(AND('Mapa final'!$H$29="Alta",'Mapa final'!$L$29="Moderado"),CONCATENATE("R",'Mapa final'!$A$29),"")</f>
        <v/>
      </c>
      <c r="Y16" s="285"/>
      <c r="Z16" s="285" t="str">
        <f ca="1">IF(AND('Mapa final'!$H$35="Alta",'Mapa final'!$L$35="Moderado"),CONCATENATE("R",'Mapa final'!$A$35),"")</f>
        <v/>
      </c>
      <c r="AA16" s="286"/>
      <c r="AB16" s="283" t="str">
        <f>IF(AND('Mapa final'!$H$23="Alta",'Mapa final'!$L$23="Mayor"),CONCATENATE("R",'Mapa final'!$A$23),"")</f>
        <v/>
      </c>
      <c r="AC16" s="284"/>
      <c r="AD16" s="285" t="str">
        <f ca="1">IF(AND('Mapa final'!$H$29="Alta",'Mapa final'!$L$29="Mayor"),CONCATENATE("R",'Mapa final'!$A$29),"")</f>
        <v/>
      </c>
      <c r="AE16" s="285"/>
      <c r="AF16" s="285" t="str">
        <f ca="1">IF(AND('Mapa final'!$H$35="Alta",'Mapa final'!$L$35="Mayor"),CONCATENATE("R",'Mapa final'!$A$35),"")</f>
        <v/>
      </c>
      <c r="AG16" s="286"/>
      <c r="AH16" s="274" t="str">
        <f>IF(AND('Mapa final'!$H$23="Alta",'Mapa final'!$L$23="Catastrófico"),CONCATENATE("R",'Mapa final'!$A$23),"")</f>
        <v/>
      </c>
      <c r="AI16" s="275"/>
      <c r="AJ16" s="275" t="str">
        <f ca="1">IF(AND('Mapa final'!$H$29="Alta",'Mapa final'!$L$29="Catastrófico"),CONCATENATE("R",'Mapa final'!$A$29),"")</f>
        <v/>
      </c>
      <c r="AK16" s="275"/>
      <c r="AL16" s="275" t="str">
        <f ca="1">IF(AND('Mapa final'!$H$35="Alta",'Mapa final'!$L$35="Catastrófico"),CONCATENATE("R",'Mapa final'!$A$35),"")</f>
        <v/>
      </c>
      <c r="AM16" s="276"/>
      <c r="AN16" s="84"/>
      <c r="AO16" s="319"/>
      <c r="AP16" s="320"/>
      <c r="AQ16" s="320"/>
      <c r="AR16" s="320"/>
      <c r="AS16" s="320"/>
      <c r="AT16" s="321"/>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305"/>
      <c r="C17" s="305"/>
      <c r="D17" s="306"/>
      <c r="E17" s="297"/>
      <c r="F17" s="298"/>
      <c r="G17" s="298"/>
      <c r="H17" s="298"/>
      <c r="I17" s="303"/>
      <c r="J17" s="265"/>
      <c r="K17" s="266"/>
      <c r="L17" s="266"/>
      <c r="M17" s="266"/>
      <c r="N17" s="266"/>
      <c r="O17" s="267"/>
      <c r="P17" s="265"/>
      <c r="Q17" s="266"/>
      <c r="R17" s="266"/>
      <c r="S17" s="266"/>
      <c r="T17" s="266"/>
      <c r="U17" s="267"/>
      <c r="V17" s="283"/>
      <c r="W17" s="284"/>
      <c r="X17" s="285"/>
      <c r="Y17" s="285"/>
      <c r="Z17" s="285"/>
      <c r="AA17" s="286"/>
      <c r="AB17" s="283"/>
      <c r="AC17" s="284"/>
      <c r="AD17" s="285"/>
      <c r="AE17" s="285"/>
      <c r="AF17" s="285"/>
      <c r="AG17" s="286"/>
      <c r="AH17" s="274"/>
      <c r="AI17" s="275"/>
      <c r="AJ17" s="275"/>
      <c r="AK17" s="275"/>
      <c r="AL17" s="275"/>
      <c r="AM17" s="276"/>
      <c r="AN17" s="84"/>
      <c r="AO17" s="319"/>
      <c r="AP17" s="320"/>
      <c r="AQ17" s="320"/>
      <c r="AR17" s="320"/>
      <c r="AS17" s="320"/>
      <c r="AT17" s="321"/>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305"/>
      <c r="C18" s="305"/>
      <c r="D18" s="306"/>
      <c r="E18" s="297"/>
      <c r="F18" s="298"/>
      <c r="G18" s="298"/>
      <c r="H18" s="298"/>
      <c r="I18" s="303"/>
      <c r="J18" s="265" t="str">
        <f ca="1">IF(AND('Mapa final'!$H$41="Alta",'Mapa final'!$L$41="Leve"),CONCATENATE("R",'Mapa final'!$A$41),"")</f>
        <v/>
      </c>
      <c r="K18" s="266"/>
      <c r="L18" s="266" t="str">
        <f ca="1">IF(AND('Mapa final'!$H$47="Alta",'Mapa final'!$L$47="Leve"),CONCATENATE("R",'Mapa final'!$A$47),"")</f>
        <v/>
      </c>
      <c r="M18" s="266"/>
      <c r="N18" s="266" t="str">
        <f ca="1">IF(AND('Mapa final'!$H$53="Alta",'Mapa final'!$L$53="Leve"),CONCATENATE("R",'Mapa final'!$A$53),"")</f>
        <v/>
      </c>
      <c r="O18" s="267"/>
      <c r="P18" s="265" t="str">
        <f ca="1">IF(AND('Mapa final'!$H$41="Alta",'Mapa final'!$L$41="Menor"),CONCATENATE("R",'Mapa final'!$A$41),"")</f>
        <v/>
      </c>
      <c r="Q18" s="266"/>
      <c r="R18" s="266" t="str">
        <f ca="1">IF(AND('Mapa final'!$H$47="Alta",'Mapa final'!$L$47="Menor"),CONCATENATE("R",'Mapa final'!$A$47),"")</f>
        <v/>
      </c>
      <c r="S18" s="266"/>
      <c r="T18" s="266" t="str">
        <f ca="1">IF(AND('Mapa final'!$H$53="Alta",'Mapa final'!$L$53="Menor"),CONCATENATE("R",'Mapa final'!$A$53),"")</f>
        <v/>
      </c>
      <c r="U18" s="267"/>
      <c r="V18" s="283" t="str">
        <f ca="1">IF(AND('Mapa final'!$H$41="Alta",'Mapa final'!$L$41="Moderado"),CONCATENATE("R",'Mapa final'!$A$41),"")</f>
        <v/>
      </c>
      <c r="W18" s="284"/>
      <c r="X18" s="285" t="str">
        <f ca="1">IF(AND('Mapa final'!$H$47="Alta",'Mapa final'!$L$47="Moderado"),CONCATENATE("R",'Mapa final'!$A$47),"")</f>
        <v/>
      </c>
      <c r="Y18" s="285"/>
      <c r="Z18" s="285" t="str">
        <f ca="1">IF(AND('Mapa final'!$H$53="Alta",'Mapa final'!$L$53="Moderado"),CONCATENATE("R",'Mapa final'!$A$53),"")</f>
        <v/>
      </c>
      <c r="AA18" s="286"/>
      <c r="AB18" s="283" t="str">
        <f ca="1">IF(AND('Mapa final'!$H$41="Alta",'Mapa final'!$L$41="Mayor"),CONCATENATE("R",'Mapa final'!$A$41),"")</f>
        <v/>
      </c>
      <c r="AC18" s="284"/>
      <c r="AD18" s="285" t="str">
        <f ca="1">IF(AND('Mapa final'!$H$47="Alta",'Mapa final'!$L$47="Mayor"),CONCATENATE("R",'Mapa final'!$A$47),"")</f>
        <v/>
      </c>
      <c r="AE18" s="285"/>
      <c r="AF18" s="285" t="str">
        <f ca="1">IF(AND('Mapa final'!$H$53="Alta",'Mapa final'!$L$53="Mayor"),CONCATENATE("R",'Mapa final'!$A$53),"")</f>
        <v/>
      </c>
      <c r="AG18" s="286"/>
      <c r="AH18" s="274" t="str">
        <f ca="1">IF(AND('Mapa final'!$H$41="Alta",'Mapa final'!$L$41="Catastrófico"),CONCATENATE("R",'Mapa final'!$A$41),"")</f>
        <v/>
      </c>
      <c r="AI18" s="275"/>
      <c r="AJ18" s="275" t="str">
        <f ca="1">IF(AND('Mapa final'!$H$47="Alta",'Mapa final'!$L$47="Catastrófico"),CONCATENATE("R",'Mapa final'!$A$47),"")</f>
        <v/>
      </c>
      <c r="AK18" s="275"/>
      <c r="AL18" s="275" t="str">
        <f ca="1">IF(AND('Mapa final'!$H$53="Alta",'Mapa final'!$L$53="Catastrófico"),CONCATENATE("R",'Mapa final'!$A$53),"")</f>
        <v/>
      </c>
      <c r="AM18" s="276"/>
      <c r="AN18" s="84"/>
      <c r="AO18" s="319"/>
      <c r="AP18" s="320"/>
      <c r="AQ18" s="320"/>
      <c r="AR18" s="320"/>
      <c r="AS18" s="320"/>
      <c r="AT18" s="321"/>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305"/>
      <c r="C19" s="305"/>
      <c r="D19" s="306"/>
      <c r="E19" s="297"/>
      <c r="F19" s="298"/>
      <c r="G19" s="298"/>
      <c r="H19" s="298"/>
      <c r="I19" s="303"/>
      <c r="J19" s="265"/>
      <c r="K19" s="266"/>
      <c r="L19" s="266"/>
      <c r="M19" s="266"/>
      <c r="N19" s="266"/>
      <c r="O19" s="267"/>
      <c r="P19" s="265"/>
      <c r="Q19" s="266"/>
      <c r="R19" s="266"/>
      <c r="S19" s="266"/>
      <c r="T19" s="266"/>
      <c r="U19" s="267"/>
      <c r="V19" s="283"/>
      <c r="W19" s="284"/>
      <c r="X19" s="285"/>
      <c r="Y19" s="285"/>
      <c r="Z19" s="285"/>
      <c r="AA19" s="286"/>
      <c r="AB19" s="283"/>
      <c r="AC19" s="284"/>
      <c r="AD19" s="285"/>
      <c r="AE19" s="285"/>
      <c r="AF19" s="285"/>
      <c r="AG19" s="286"/>
      <c r="AH19" s="274"/>
      <c r="AI19" s="275"/>
      <c r="AJ19" s="275"/>
      <c r="AK19" s="275"/>
      <c r="AL19" s="275"/>
      <c r="AM19" s="276"/>
      <c r="AN19" s="84"/>
      <c r="AO19" s="319"/>
      <c r="AP19" s="320"/>
      <c r="AQ19" s="320"/>
      <c r="AR19" s="320"/>
      <c r="AS19" s="320"/>
      <c r="AT19" s="321"/>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305"/>
      <c r="C20" s="305"/>
      <c r="D20" s="306"/>
      <c r="E20" s="297"/>
      <c r="F20" s="298"/>
      <c r="G20" s="298"/>
      <c r="H20" s="298"/>
      <c r="I20" s="303"/>
      <c r="J20" s="265" t="str">
        <f ca="1">IF(AND('Mapa final'!$H$59="Alta",'Mapa final'!$L$59="Leve"),CONCATENATE("R",'Mapa final'!$A$59),"")</f>
        <v/>
      </c>
      <c r="K20" s="266"/>
      <c r="L20" s="266" t="str">
        <f>IF(AND('Mapa final'!$H$65="Alta",'Mapa final'!$L$65="Leve"),CONCATENATE("R",'Mapa final'!$A$65),"")</f>
        <v/>
      </c>
      <c r="M20" s="266"/>
      <c r="N20" s="266" t="str">
        <f>IF(AND('Mapa final'!$H$71="Alta",'Mapa final'!$L$71="Leve"),CONCATENATE("R",'Mapa final'!$A$71),"")</f>
        <v/>
      </c>
      <c r="O20" s="267"/>
      <c r="P20" s="265" t="str">
        <f ca="1">IF(AND('Mapa final'!$H$59="Alta",'Mapa final'!$L$59="Menor"),CONCATENATE("R",'Mapa final'!$A$59),"")</f>
        <v/>
      </c>
      <c r="Q20" s="266"/>
      <c r="R20" s="266" t="str">
        <f>IF(AND('Mapa final'!$H$65="Alta",'Mapa final'!$L$65="Menor"),CONCATENATE("R",'Mapa final'!$A$65),"")</f>
        <v/>
      </c>
      <c r="S20" s="266"/>
      <c r="T20" s="266" t="str">
        <f>IF(AND('Mapa final'!$H$71="Alta",'Mapa final'!$L$71="Menor"),CONCATENATE("R",'Mapa final'!$A$71),"")</f>
        <v/>
      </c>
      <c r="U20" s="267"/>
      <c r="V20" s="283" t="str">
        <f ca="1">IF(AND('Mapa final'!$H$59="Alta",'Mapa final'!$L$59="Moderado"),CONCATENATE("R",'Mapa final'!$A$59),"")</f>
        <v/>
      </c>
      <c r="W20" s="284"/>
      <c r="X20" s="285" t="str">
        <f>IF(AND('Mapa final'!$H$65="Alta",'Mapa final'!$L$65="Moderado"),CONCATENATE("R",'Mapa final'!$A$65),"")</f>
        <v/>
      </c>
      <c r="Y20" s="285"/>
      <c r="Z20" s="285" t="str">
        <f>IF(AND('Mapa final'!$H$71="Alta",'Mapa final'!$L$71="Moderado"),CONCATENATE("R",'Mapa final'!$A$71),"")</f>
        <v/>
      </c>
      <c r="AA20" s="286"/>
      <c r="AB20" s="283" t="str">
        <f ca="1">IF(AND('Mapa final'!$H$59="Alta",'Mapa final'!$L$59="Mayor"),CONCATENATE("R",'Mapa final'!$A$59),"")</f>
        <v/>
      </c>
      <c r="AC20" s="284"/>
      <c r="AD20" s="285" t="str">
        <f>IF(AND('Mapa final'!$H$65="Alta",'Mapa final'!$L$65="Mayor"),CONCATENATE("R",'Mapa final'!$A$65),"")</f>
        <v/>
      </c>
      <c r="AE20" s="285"/>
      <c r="AF20" s="285" t="str">
        <f>IF(AND('Mapa final'!$H$71="Alta",'Mapa final'!$L$71="Mayor"),CONCATENATE("R",'Mapa final'!$A$71),"")</f>
        <v/>
      </c>
      <c r="AG20" s="286"/>
      <c r="AH20" s="274" t="str">
        <f ca="1">IF(AND('Mapa final'!$H$59="Alta",'Mapa final'!$L$59="Catastrófico"),CONCATENATE("R",'Mapa final'!$A$59),"")</f>
        <v/>
      </c>
      <c r="AI20" s="275"/>
      <c r="AJ20" s="275" t="str">
        <f>IF(AND('Mapa final'!$H$65="Alta",'Mapa final'!$L$65="Catastrófico"),CONCATENATE("R",'Mapa final'!$A$65),"")</f>
        <v/>
      </c>
      <c r="AK20" s="275"/>
      <c r="AL20" s="275" t="str">
        <f>IF(AND('Mapa final'!$H$71="Alta",'Mapa final'!$L$71="Catastrófico"),CONCATENATE("R",'Mapa final'!$A$71),"")</f>
        <v/>
      </c>
      <c r="AM20" s="276"/>
      <c r="AN20" s="84"/>
      <c r="AO20" s="319"/>
      <c r="AP20" s="320"/>
      <c r="AQ20" s="320"/>
      <c r="AR20" s="320"/>
      <c r="AS20" s="320"/>
      <c r="AT20" s="321"/>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305"/>
      <c r="C21" s="305"/>
      <c r="D21" s="306"/>
      <c r="E21" s="300"/>
      <c r="F21" s="301"/>
      <c r="G21" s="301"/>
      <c r="H21" s="301"/>
      <c r="I21" s="301"/>
      <c r="J21" s="268"/>
      <c r="K21" s="269"/>
      <c r="L21" s="269"/>
      <c r="M21" s="269"/>
      <c r="N21" s="269"/>
      <c r="O21" s="270"/>
      <c r="P21" s="268"/>
      <c r="Q21" s="269"/>
      <c r="R21" s="269"/>
      <c r="S21" s="269"/>
      <c r="T21" s="269"/>
      <c r="U21" s="270"/>
      <c r="V21" s="287"/>
      <c r="W21" s="288"/>
      <c r="X21" s="288"/>
      <c r="Y21" s="288"/>
      <c r="Z21" s="288"/>
      <c r="AA21" s="289"/>
      <c r="AB21" s="287"/>
      <c r="AC21" s="288"/>
      <c r="AD21" s="288"/>
      <c r="AE21" s="288"/>
      <c r="AF21" s="288"/>
      <c r="AG21" s="289"/>
      <c r="AH21" s="277"/>
      <c r="AI21" s="278"/>
      <c r="AJ21" s="278"/>
      <c r="AK21" s="278"/>
      <c r="AL21" s="278"/>
      <c r="AM21" s="279"/>
      <c r="AN21" s="84"/>
      <c r="AO21" s="322"/>
      <c r="AP21" s="323"/>
      <c r="AQ21" s="323"/>
      <c r="AR21" s="323"/>
      <c r="AS21" s="323"/>
      <c r="AT21" s="32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305"/>
      <c r="C22" s="305"/>
      <c r="D22" s="306"/>
      <c r="E22" s="294" t="s">
        <v>117</v>
      </c>
      <c r="F22" s="295"/>
      <c r="G22" s="295"/>
      <c r="H22" s="295"/>
      <c r="I22" s="296"/>
      <c r="J22" s="271" t="str">
        <f>IF(AND('Mapa final'!$H$10="Media",'Mapa final'!$L$10="Leve"),CONCATENATE("R",'Mapa final'!$A$10),"")</f>
        <v/>
      </c>
      <c r="K22" s="272"/>
      <c r="L22" s="272" t="str">
        <f>IF(AND('Mapa final'!$H$15="Media",'Mapa final'!$L$15="Leve"),CONCATENATE("R",'Mapa final'!$A$15),"")</f>
        <v/>
      </c>
      <c r="M22" s="272"/>
      <c r="N22" s="272" t="str">
        <f>IF(AND('Mapa final'!$H$21="Media",'Mapa final'!$L$21="Leve"),CONCATENATE("R",'Mapa final'!$A$21),"")</f>
        <v/>
      </c>
      <c r="O22" s="273"/>
      <c r="P22" s="271" t="str">
        <f>IF(AND('Mapa final'!$H$10="Media",'Mapa final'!$L$10="Menor"),CONCATENATE("R",'Mapa final'!$A$10),"")</f>
        <v/>
      </c>
      <c r="Q22" s="272"/>
      <c r="R22" s="272" t="str">
        <f>IF(AND('Mapa final'!$H$15="Media",'Mapa final'!$L$15="Menor"),CONCATENATE("R",'Mapa final'!$A$15),"")</f>
        <v/>
      </c>
      <c r="S22" s="272"/>
      <c r="T22" s="272" t="str">
        <f>IF(AND('Mapa final'!$H$21="Media",'Mapa final'!$L$21="Menor"),CONCATENATE("R",'Mapa final'!$A$21),"")</f>
        <v/>
      </c>
      <c r="U22" s="273"/>
      <c r="V22" s="271" t="str">
        <f>IF(AND('Mapa final'!$H$10="Media",'Mapa final'!$L$10="Moderado"),CONCATENATE("R",'Mapa final'!$A$10),"")</f>
        <v/>
      </c>
      <c r="W22" s="272"/>
      <c r="X22" s="272" t="str">
        <f>IF(AND('Mapa final'!$H$15="Media",'Mapa final'!$L$15="Moderado"),CONCATENATE("R",'Mapa final'!$A$15),"")</f>
        <v/>
      </c>
      <c r="Y22" s="272"/>
      <c r="Z22" s="272" t="str">
        <f>IF(AND('Mapa final'!$H$21="Media",'Mapa final'!$L$21="Moderado"),CONCATENATE("R",'Mapa final'!$A$21),"")</f>
        <v/>
      </c>
      <c r="AA22" s="273"/>
      <c r="AB22" s="290" t="str">
        <f>IF(AND('Mapa final'!$H$10="Media",'Mapa final'!$L$10="Mayor"),CONCATENATE("R",'Mapa final'!$A$10),"")</f>
        <v/>
      </c>
      <c r="AC22" s="291"/>
      <c r="AD22" s="291" t="str">
        <f>IF(AND('Mapa final'!$H$15="Media",'Mapa final'!$L$15="Mayor"),CONCATENATE("R",'Mapa final'!$A$15),"")</f>
        <v/>
      </c>
      <c r="AE22" s="291"/>
      <c r="AF22" s="291" t="str">
        <f>IF(AND('Mapa final'!$H$21="Media",'Mapa final'!$L$21="Mayor"),CONCATENATE("R",'Mapa final'!$A$21),"")</f>
        <v/>
      </c>
      <c r="AG22" s="292"/>
      <c r="AH22" s="280" t="str">
        <f>IF(AND('Mapa final'!$H$10="Media",'Mapa final'!$L$10="Catastrófico"),CONCATENATE("R",'Mapa final'!$A$10),"")</f>
        <v/>
      </c>
      <c r="AI22" s="281"/>
      <c r="AJ22" s="281" t="str">
        <f>IF(AND('Mapa final'!$H$15="Media",'Mapa final'!$L$15="Catastrófico"),CONCATENATE("R",'Mapa final'!$A$15),"")</f>
        <v/>
      </c>
      <c r="AK22" s="281"/>
      <c r="AL22" s="281" t="str">
        <f>IF(AND('Mapa final'!$H$21="Media",'Mapa final'!$L$21="Catastrófico"),CONCATENATE("R",'Mapa final'!$A$21),"")</f>
        <v/>
      </c>
      <c r="AM22" s="282"/>
      <c r="AN22" s="84"/>
      <c r="AO22" s="325" t="s">
        <v>81</v>
      </c>
      <c r="AP22" s="326"/>
      <c r="AQ22" s="326"/>
      <c r="AR22" s="326"/>
      <c r="AS22" s="326"/>
      <c r="AT22" s="327"/>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305"/>
      <c r="C23" s="305"/>
      <c r="D23" s="306"/>
      <c r="E23" s="297"/>
      <c r="F23" s="298"/>
      <c r="G23" s="298"/>
      <c r="H23" s="298"/>
      <c r="I23" s="299"/>
      <c r="J23" s="265"/>
      <c r="K23" s="266"/>
      <c r="L23" s="266"/>
      <c r="M23" s="266"/>
      <c r="N23" s="266"/>
      <c r="O23" s="267"/>
      <c r="P23" s="265"/>
      <c r="Q23" s="266"/>
      <c r="R23" s="266"/>
      <c r="S23" s="266"/>
      <c r="T23" s="266"/>
      <c r="U23" s="267"/>
      <c r="V23" s="265"/>
      <c r="W23" s="266"/>
      <c r="X23" s="266"/>
      <c r="Y23" s="266"/>
      <c r="Z23" s="266"/>
      <c r="AA23" s="267"/>
      <c r="AB23" s="283"/>
      <c r="AC23" s="284"/>
      <c r="AD23" s="284"/>
      <c r="AE23" s="284"/>
      <c r="AF23" s="284"/>
      <c r="AG23" s="286"/>
      <c r="AH23" s="274"/>
      <c r="AI23" s="275"/>
      <c r="AJ23" s="275"/>
      <c r="AK23" s="275"/>
      <c r="AL23" s="275"/>
      <c r="AM23" s="276"/>
      <c r="AN23" s="84"/>
      <c r="AO23" s="328"/>
      <c r="AP23" s="329"/>
      <c r="AQ23" s="329"/>
      <c r="AR23" s="329"/>
      <c r="AS23" s="329"/>
      <c r="AT23" s="330"/>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305"/>
      <c r="C24" s="305"/>
      <c r="D24" s="306"/>
      <c r="E24" s="297"/>
      <c r="F24" s="298"/>
      <c r="G24" s="298"/>
      <c r="H24" s="298"/>
      <c r="I24" s="299"/>
      <c r="J24" s="265" t="str">
        <f>IF(AND('Mapa final'!$H$23="Media",'Mapa final'!$L$23="Leve"),CONCATENATE("R",'Mapa final'!$A$23),"")</f>
        <v/>
      </c>
      <c r="K24" s="266"/>
      <c r="L24" s="266" t="str">
        <f ca="1">IF(AND('Mapa final'!$H$29="Media",'Mapa final'!$L$29="Leve"),CONCATENATE("R",'Mapa final'!$A$29),"")</f>
        <v/>
      </c>
      <c r="M24" s="266"/>
      <c r="N24" s="266" t="str">
        <f ca="1">IF(AND('Mapa final'!$H$35="Media",'Mapa final'!$L$35="Leve"),CONCATENATE("R",'Mapa final'!$A$35),"")</f>
        <v/>
      </c>
      <c r="O24" s="267"/>
      <c r="P24" s="265" t="str">
        <f>IF(AND('Mapa final'!$H$23="Media",'Mapa final'!$L$23="Menor"),CONCATENATE("R",'Mapa final'!$A$23),"")</f>
        <v/>
      </c>
      <c r="Q24" s="266"/>
      <c r="R24" s="266" t="str">
        <f ca="1">IF(AND('Mapa final'!$H$29="Media",'Mapa final'!$L$29="Menor"),CONCATENATE("R",'Mapa final'!$A$29),"")</f>
        <v/>
      </c>
      <c r="S24" s="266"/>
      <c r="T24" s="266" t="str">
        <f ca="1">IF(AND('Mapa final'!$H$35="Media",'Mapa final'!$L$35="Menor"),CONCATENATE("R",'Mapa final'!$A$35),"")</f>
        <v/>
      </c>
      <c r="U24" s="267"/>
      <c r="V24" s="265" t="str">
        <f>IF(AND('Mapa final'!$H$23="Media",'Mapa final'!$L$23="Moderado"),CONCATENATE("R",'Mapa final'!$A$23),"")</f>
        <v/>
      </c>
      <c r="W24" s="266"/>
      <c r="X24" s="266" t="str">
        <f ca="1">IF(AND('Mapa final'!$H$29="Media",'Mapa final'!$L$29="Moderado"),CONCATENATE("R",'Mapa final'!$A$29),"")</f>
        <v/>
      </c>
      <c r="Y24" s="266"/>
      <c r="Z24" s="266" t="str">
        <f ca="1">IF(AND('Mapa final'!$H$35="Media",'Mapa final'!$L$35="Moderado"),CONCATENATE("R",'Mapa final'!$A$35),"")</f>
        <v/>
      </c>
      <c r="AA24" s="267"/>
      <c r="AB24" s="283" t="str">
        <f>IF(AND('Mapa final'!$H$23="Media",'Mapa final'!$L$23="Mayor"),CONCATENATE("R",'Mapa final'!$A$23),"")</f>
        <v/>
      </c>
      <c r="AC24" s="284"/>
      <c r="AD24" s="285" t="str">
        <f ca="1">IF(AND('Mapa final'!$H$29="Media",'Mapa final'!$L$29="Mayor"),CONCATENATE("R",'Mapa final'!$A$29),"")</f>
        <v/>
      </c>
      <c r="AE24" s="285"/>
      <c r="AF24" s="285" t="str">
        <f ca="1">IF(AND('Mapa final'!$H$35="Media",'Mapa final'!$L$35="Mayor"),CONCATENATE("R",'Mapa final'!$A$35),"")</f>
        <v/>
      </c>
      <c r="AG24" s="286"/>
      <c r="AH24" s="274" t="str">
        <f>IF(AND('Mapa final'!$H$23="Media",'Mapa final'!$L$23="Catastrófico"),CONCATENATE("R",'Mapa final'!$A$23),"")</f>
        <v/>
      </c>
      <c r="AI24" s="275"/>
      <c r="AJ24" s="275" t="str">
        <f ca="1">IF(AND('Mapa final'!$H$29="Media",'Mapa final'!$L$29="Catastrófico"),CONCATENATE("R",'Mapa final'!$A$29),"")</f>
        <v/>
      </c>
      <c r="AK24" s="275"/>
      <c r="AL24" s="275" t="str">
        <f ca="1">IF(AND('Mapa final'!$H$35="Media",'Mapa final'!$L$35="Catastrófico"),CONCATENATE("R",'Mapa final'!$A$35),"")</f>
        <v/>
      </c>
      <c r="AM24" s="276"/>
      <c r="AN24" s="84"/>
      <c r="AO24" s="328"/>
      <c r="AP24" s="329"/>
      <c r="AQ24" s="329"/>
      <c r="AR24" s="329"/>
      <c r="AS24" s="329"/>
      <c r="AT24" s="330"/>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305"/>
      <c r="C25" s="305"/>
      <c r="D25" s="306"/>
      <c r="E25" s="297"/>
      <c r="F25" s="298"/>
      <c r="G25" s="298"/>
      <c r="H25" s="298"/>
      <c r="I25" s="299"/>
      <c r="J25" s="265"/>
      <c r="K25" s="266"/>
      <c r="L25" s="266"/>
      <c r="M25" s="266"/>
      <c r="N25" s="266"/>
      <c r="O25" s="267"/>
      <c r="P25" s="265"/>
      <c r="Q25" s="266"/>
      <c r="R25" s="266"/>
      <c r="S25" s="266"/>
      <c r="T25" s="266"/>
      <c r="U25" s="267"/>
      <c r="V25" s="265"/>
      <c r="W25" s="266"/>
      <c r="X25" s="266"/>
      <c r="Y25" s="266"/>
      <c r="Z25" s="266"/>
      <c r="AA25" s="267"/>
      <c r="AB25" s="283"/>
      <c r="AC25" s="284"/>
      <c r="AD25" s="285"/>
      <c r="AE25" s="285"/>
      <c r="AF25" s="285"/>
      <c r="AG25" s="286"/>
      <c r="AH25" s="274"/>
      <c r="AI25" s="275"/>
      <c r="AJ25" s="275"/>
      <c r="AK25" s="275"/>
      <c r="AL25" s="275"/>
      <c r="AM25" s="276"/>
      <c r="AN25" s="84"/>
      <c r="AO25" s="328"/>
      <c r="AP25" s="329"/>
      <c r="AQ25" s="329"/>
      <c r="AR25" s="329"/>
      <c r="AS25" s="329"/>
      <c r="AT25" s="330"/>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305"/>
      <c r="C26" s="305"/>
      <c r="D26" s="306"/>
      <c r="E26" s="297"/>
      <c r="F26" s="298"/>
      <c r="G26" s="298"/>
      <c r="H26" s="298"/>
      <c r="I26" s="299"/>
      <c r="J26" s="265" t="str">
        <f ca="1">IF(AND('Mapa final'!$H$41="Media",'Mapa final'!$L$41="Leve"),CONCATENATE("R",'Mapa final'!$A$41),"")</f>
        <v/>
      </c>
      <c r="K26" s="266"/>
      <c r="L26" s="266" t="str">
        <f ca="1">IF(AND('Mapa final'!$H$47="Media",'Mapa final'!$L$47="Leve"),CONCATENATE("R",'Mapa final'!$A$47),"")</f>
        <v/>
      </c>
      <c r="M26" s="266"/>
      <c r="N26" s="266" t="str">
        <f ca="1">IF(AND('Mapa final'!$H$53="Media",'Mapa final'!$L$53="Leve"),CONCATENATE("R",'Mapa final'!$A$53),"")</f>
        <v/>
      </c>
      <c r="O26" s="267"/>
      <c r="P26" s="265" t="str">
        <f ca="1">IF(AND('Mapa final'!$H$41="Media",'Mapa final'!$L$41="Menor"),CONCATENATE("R",'Mapa final'!$A$41),"")</f>
        <v/>
      </c>
      <c r="Q26" s="266"/>
      <c r="R26" s="266" t="str">
        <f ca="1">IF(AND('Mapa final'!$H$47="Media",'Mapa final'!$L$47="Menor"),CONCATENATE("R",'Mapa final'!$A$47),"")</f>
        <v/>
      </c>
      <c r="S26" s="266"/>
      <c r="T26" s="266" t="str">
        <f ca="1">IF(AND('Mapa final'!$H$53="Media",'Mapa final'!$L$53="Menor"),CONCATENATE("R",'Mapa final'!$A$53),"")</f>
        <v/>
      </c>
      <c r="U26" s="267"/>
      <c r="V26" s="265" t="str">
        <f ca="1">IF(AND('Mapa final'!$H$41="Media",'Mapa final'!$L$41="Moderado"),CONCATENATE("R",'Mapa final'!$A$41),"")</f>
        <v/>
      </c>
      <c r="W26" s="266"/>
      <c r="X26" s="266" t="str">
        <f ca="1">IF(AND('Mapa final'!$H$47="Media",'Mapa final'!$L$47="Moderado"),CONCATENATE("R",'Mapa final'!$A$47),"")</f>
        <v/>
      </c>
      <c r="Y26" s="266"/>
      <c r="Z26" s="266" t="str">
        <f ca="1">IF(AND('Mapa final'!$H$53="Media",'Mapa final'!$L$53="Moderado"),CONCATENATE("R",'Mapa final'!$A$53),"")</f>
        <v/>
      </c>
      <c r="AA26" s="267"/>
      <c r="AB26" s="283" t="str">
        <f ca="1">IF(AND('Mapa final'!$H$41="Media",'Mapa final'!$L$41="Mayor"),CONCATENATE("R",'Mapa final'!$A$41),"")</f>
        <v/>
      </c>
      <c r="AC26" s="284"/>
      <c r="AD26" s="285" t="str">
        <f ca="1">IF(AND('Mapa final'!$H$47="Media",'Mapa final'!$L$47="Mayor"),CONCATENATE("R",'Mapa final'!$A$47),"")</f>
        <v/>
      </c>
      <c r="AE26" s="285"/>
      <c r="AF26" s="285" t="str">
        <f ca="1">IF(AND('Mapa final'!$H$53="Media",'Mapa final'!$L$53="Mayor"),CONCATENATE("R",'Mapa final'!$A$53),"")</f>
        <v/>
      </c>
      <c r="AG26" s="286"/>
      <c r="AH26" s="274" t="str">
        <f ca="1">IF(AND('Mapa final'!$H$41="Media",'Mapa final'!$L$41="Catastrófico"),CONCATENATE("R",'Mapa final'!$A$41),"")</f>
        <v/>
      </c>
      <c r="AI26" s="275"/>
      <c r="AJ26" s="275" t="str">
        <f ca="1">IF(AND('Mapa final'!$H$47="Media",'Mapa final'!$L$47="Catastrófico"),CONCATENATE("R",'Mapa final'!$A$47),"")</f>
        <v/>
      </c>
      <c r="AK26" s="275"/>
      <c r="AL26" s="275" t="str">
        <f ca="1">IF(AND('Mapa final'!$H$53="Media",'Mapa final'!$L$53="Catastrófico"),CONCATENATE("R",'Mapa final'!$A$53),"")</f>
        <v/>
      </c>
      <c r="AM26" s="276"/>
      <c r="AN26" s="84"/>
      <c r="AO26" s="328"/>
      <c r="AP26" s="329"/>
      <c r="AQ26" s="329"/>
      <c r="AR26" s="329"/>
      <c r="AS26" s="329"/>
      <c r="AT26" s="330"/>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305"/>
      <c r="C27" s="305"/>
      <c r="D27" s="306"/>
      <c r="E27" s="297"/>
      <c r="F27" s="298"/>
      <c r="G27" s="298"/>
      <c r="H27" s="298"/>
      <c r="I27" s="299"/>
      <c r="J27" s="265"/>
      <c r="K27" s="266"/>
      <c r="L27" s="266"/>
      <c r="M27" s="266"/>
      <c r="N27" s="266"/>
      <c r="O27" s="267"/>
      <c r="P27" s="265"/>
      <c r="Q27" s="266"/>
      <c r="R27" s="266"/>
      <c r="S27" s="266"/>
      <c r="T27" s="266"/>
      <c r="U27" s="267"/>
      <c r="V27" s="265"/>
      <c r="W27" s="266"/>
      <c r="X27" s="266"/>
      <c r="Y27" s="266"/>
      <c r="Z27" s="266"/>
      <c r="AA27" s="267"/>
      <c r="AB27" s="283"/>
      <c r="AC27" s="284"/>
      <c r="AD27" s="285"/>
      <c r="AE27" s="285"/>
      <c r="AF27" s="285"/>
      <c r="AG27" s="286"/>
      <c r="AH27" s="274"/>
      <c r="AI27" s="275"/>
      <c r="AJ27" s="275"/>
      <c r="AK27" s="275"/>
      <c r="AL27" s="275"/>
      <c r="AM27" s="276"/>
      <c r="AN27" s="84"/>
      <c r="AO27" s="328"/>
      <c r="AP27" s="329"/>
      <c r="AQ27" s="329"/>
      <c r="AR27" s="329"/>
      <c r="AS27" s="329"/>
      <c r="AT27" s="330"/>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305"/>
      <c r="C28" s="305"/>
      <c r="D28" s="306"/>
      <c r="E28" s="297"/>
      <c r="F28" s="298"/>
      <c r="G28" s="298"/>
      <c r="H28" s="298"/>
      <c r="I28" s="299"/>
      <c r="J28" s="265" t="str">
        <f ca="1">IF(AND('Mapa final'!$H$59="Media",'Mapa final'!$L$59="Leve"),CONCATENATE("R",'Mapa final'!$A$59),"")</f>
        <v/>
      </c>
      <c r="K28" s="266"/>
      <c r="L28" s="266" t="str">
        <f>IF(AND('Mapa final'!$H$65="Media",'Mapa final'!$L$65="Leve"),CONCATENATE("R",'Mapa final'!$A$65),"")</f>
        <v/>
      </c>
      <c r="M28" s="266"/>
      <c r="N28" s="266" t="str">
        <f>IF(AND('Mapa final'!$H$71="Media",'Mapa final'!$L$71="Leve"),CONCATENATE("R",'Mapa final'!$A$71),"")</f>
        <v/>
      </c>
      <c r="O28" s="267"/>
      <c r="P28" s="265" t="str">
        <f ca="1">IF(AND('Mapa final'!$H$59="Media",'Mapa final'!$L$59="Menor"),CONCATENATE("R",'Mapa final'!$A$59),"")</f>
        <v/>
      </c>
      <c r="Q28" s="266"/>
      <c r="R28" s="266" t="str">
        <f>IF(AND('Mapa final'!$H$65="Media",'Mapa final'!$L$65="Menor"),CONCATENATE("R",'Mapa final'!$A$65),"")</f>
        <v/>
      </c>
      <c r="S28" s="266"/>
      <c r="T28" s="266" t="str">
        <f>IF(AND('Mapa final'!$H$71="Media",'Mapa final'!$L$71="Menor"),CONCATENATE("R",'Mapa final'!$A$71),"")</f>
        <v/>
      </c>
      <c r="U28" s="267"/>
      <c r="V28" s="265" t="str">
        <f ca="1">IF(AND('Mapa final'!$H$59="Media",'Mapa final'!$L$59="Moderado"),CONCATENATE("R",'Mapa final'!$A$59),"")</f>
        <v/>
      </c>
      <c r="W28" s="266"/>
      <c r="X28" s="266" t="str">
        <f>IF(AND('Mapa final'!$H$65="Media",'Mapa final'!$L$65="Moderado"),CONCATENATE("R",'Mapa final'!$A$65),"")</f>
        <v/>
      </c>
      <c r="Y28" s="266"/>
      <c r="Z28" s="266" t="str">
        <f>IF(AND('Mapa final'!$H$71="Media",'Mapa final'!$L$71="Moderado"),CONCATENATE("R",'Mapa final'!$A$71),"")</f>
        <v/>
      </c>
      <c r="AA28" s="267"/>
      <c r="AB28" s="283" t="str">
        <f ca="1">IF(AND('Mapa final'!$H$59="Media",'Mapa final'!$L$59="Mayor"),CONCATENATE("R",'Mapa final'!$A$59),"")</f>
        <v/>
      </c>
      <c r="AC28" s="284"/>
      <c r="AD28" s="285" t="str">
        <f>IF(AND('Mapa final'!$H$65="Media",'Mapa final'!$L$65="Mayor"),CONCATENATE("R",'Mapa final'!$A$65),"")</f>
        <v/>
      </c>
      <c r="AE28" s="285"/>
      <c r="AF28" s="285" t="str">
        <f>IF(AND('Mapa final'!$H$71="Media",'Mapa final'!$L$71="Mayor"),CONCATENATE("R",'Mapa final'!$A$71),"")</f>
        <v/>
      </c>
      <c r="AG28" s="286"/>
      <c r="AH28" s="274" t="str">
        <f ca="1">IF(AND('Mapa final'!$H$59="Media",'Mapa final'!$L$59="Catastrófico"),CONCATENATE("R",'Mapa final'!$A$59),"")</f>
        <v/>
      </c>
      <c r="AI28" s="275"/>
      <c r="AJ28" s="275" t="str">
        <f>IF(AND('Mapa final'!$H$65="Media",'Mapa final'!$L$65="Catastrófico"),CONCATENATE("R",'Mapa final'!$A$65),"")</f>
        <v/>
      </c>
      <c r="AK28" s="275"/>
      <c r="AL28" s="275" t="str">
        <f>IF(AND('Mapa final'!$H$71="Media",'Mapa final'!$L$71="Catastrófico"),CONCATENATE("R",'Mapa final'!$A$71),"")</f>
        <v/>
      </c>
      <c r="AM28" s="276"/>
      <c r="AN28" s="84"/>
      <c r="AO28" s="328"/>
      <c r="AP28" s="329"/>
      <c r="AQ28" s="329"/>
      <c r="AR28" s="329"/>
      <c r="AS28" s="329"/>
      <c r="AT28" s="330"/>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305"/>
      <c r="C29" s="305"/>
      <c r="D29" s="306"/>
      <c r="E29" s="300"/>
      <c r="F29" s="301"/>
      <c r="G29" s="301"/>
      <c r="H29" s="301"/>
      <c r="I29" s="302"/>
      <c r="J29" s="265"/>
      <c r="K29" s="266"/>
      <c r="L29" s="266"/>
      <c r="M29" s="266"/>
      <c r="N29" s="266"/>
      <c r="O29" s="267"/>
      <c r="P29" s="268"/>
      <c r="Q29" s="269"/>
      <c r="R29" s="269"/>
      <c r="S29" s="269"/>
      <c r="T29" s="269"/>
      <c r="U29" s="270"/>
      <c r="V29" s="268"/>
      <c r="W29" s="269"/>
      <c r="X29" s="269"/>
      <c r="Y29" s="269"/>
      <c r="Z29" s="269"/>
      <c r="AA29" s="270"/>
      <c r="AB29" s="287"/>
      <c r="AC29" s="288"/>
      <c r="AD29" s="288"/>
      <c r="AE29" s="288"/>
      <c r="AF29" s="288"/>
      <c r="AG29" s="289"/>
      <c r="AH29" s="277"/>
      <c r="AI29" s="278"/>
      <c r="AJ29" s="278"/>
      <c r="AK29" s="278"/>
      <c r="AL29" s="278"/>
      <c r="AM29" s="279"/>
      <c r="AN29" s="84"/>
      <c r="AO29" s="331"/>
      <c r="AP29" s="332"/>
      <c r="AQ29" s="332"/>
      <c r="AR29" s="332"/>
      <c r="AS29" s="332"/>
      <c r="AT29" s="333"/>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305"/>
      <c r="C30" s="305"/>
      <c r="D30" s="306"/>
      <c r="E30" s="294" t="s">
        <v>114</v>
      </c>
      <c r="F30" s="295"/>
      <c r="G30" s="295"/>
      <c r="H30" s="295"/>
      <c r="I30" s="295"/>
      <c r="J30" s="262" t="str">
        <f>IF(AND('Mapa final'!$H$10="Baja",'Mapa final'!$L$10="Leve"),CONCATENATE("R",'Mapa final'!$A$10),"")</f>
        <v/>
      </c>
      <c r="K30" s="263"/>
      <c r="L30" s="263" t="str">
        <f>IF(AND('Mapa final'!$H$15="Baja",'Mapa final'!$L$15="Leve"),CONCATENATE("R",'Mapa final'!$A$15),"")</f>
        <v/>
      </c>
      <c r="M30" s="263"/>
      <c r="N30" s="263" t="str">
        <f>IF(AND('Mapa final'!$H$21="Baja",'Mapa final'!$L$21="Leve"),CONCATENATE("R",'Mapa final'!$A$21),"")</f>
        <v/>
      </c>
      <c r="O30" s="264"/>
      <c r="P30" s="272" t="str">
        <f>IF(AND('Mapa final'!$H$10="Baja",'Mapa final'!$L$10="Menor"),CONCATENATE("R",'Mapa final'!$A$10),"")</f>
        <v/>
      </c>
      <c r="Q30" s="272"/>
      <c r="R30" s="272" t="str">
        <f>IF(AND('Mapa final'!$H$15="Baja",'Mapa final'!$L$15="Menor"),CONCATENATE("R",'Mapa final'!$A$15),"")</f>
        <v>R2</v>
      </c>
      <c r="S30" s="272"/>
      <c r="T30" s="272" t="str">
        <f>IF(AND('Mapa final'!$H$21="Baja",'Mapa final'!$L$21="Menor"),CONCATENATE("R",'Mapa final'!$A$21),"")</f>
        <v/>
      </c>
      <c r="U30" s="273"/>
      <c r="V30" s="271" t="str">
        <f>IF(AND('Mapa final'!$H$10="Baja",'Mapa final'!$L$10="Moderado"),CONCATENATE("R",'Mapa final'!$A$10),"")</f>
        <v/>
      </c>
      <c r="W30" s="272"/>
      <c r="X30" s="272" t="str">
        <f>IF(AND('Mapa final'!$H$15="Baja",'Mapa final'!$L$15="Moderado"),CONCATENATE("R",'Mapa final'!$A$15),"")</f>
        <v/>
      </c>
      <c r="Y30" s="272"/>
      <c r="Z30" s="272" t="str">
        <f>IF(AND('Mapa final'!$H$21="Baja",'Mapa final'!$L$21="Moderado"),CONCATENATE("R",'Mapa final'!$A$21),"")</f>
        <v/>
      </c>
      <c r="AA30" s="273"/>
      <c r="AB30" s="290" t="str">
        <f>IF(AND('Mapa final'!$H$10="Baja",'Mapa final'!$L$10="Mayor"),CONCATENATE("R",'Mapa final'!$A$10),"")</f>
        <v/>
      </c>
      <c r="AC30" s="291"/>
      <c r="AD30" s="291" t="str">
        <f>IF(AND('Mapa final'!$H$15="Baja",'Mapa final'!$L$15="Mayor"),CONCATENATE("R",'Mapa final'!$A$15),"")</f>
        <v/>
      </c>
      <c r="AE30" s="291"/>
      <c r="AF30" s="291" t="str">
        <f>IF(AND('Mapa final'!$H$21="Baja",'Mapa final'!$L$21="Mayor"),CONCATENATE("R",'Mapa final'!$A$21),"")</f>
        <v/>
      </c>
      <c r="AG30" s="292"/>
      <c r="AH30" s="280" t="str">
        <f>IF(AND('Mapa final'!$H$10="Baja",'Mapa final'!$L$10="Catastrófico"),CONCATENATE("R",'Mapa final'!$A$10),"")</f>
        <v/>
      </c>
      <c r="AI30" s="281"/>
      <c r="AJ30" s="281" t="str">
        <f>IF(AND('Mapa final'!$H$15="Baja",'Mapa final'!$L$15="Catastrófico"),CONCATENATE("R",'Mapa final'!$A$15),"")</f>
        <v/>
      </c>
      <c r="AK30" s="281"/>
      <c r="AL30" s="281" t="str">
        <f>IF(AND('Mapa final'!$H$21="Baja",'Mapa final'!$L$21="Catastrófico"),CONCATENATE("R",'Mapa final'!$A$21),"")</f>
        <v/>
      </c>
      <c r="AM30" s="282"/>
      <c r="AN30" s="84"/>
      <c r="AO30" s="334" t="s">
        <v>82</v>
      </c>
      <c r="AP30" s="335"/>
      <c r="AQ30" s="335"/>
      <c r="AR30" s="335"/>
      <c r="AS30" s="335"/>
      <c r="AT30" s="336"/>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305"/>
      <c r="C31" s="305"/>
      <c r="D31" s="306"/>
      <c r="E31" s="297"/>
      <c r="F31" s="298"/>
      <c r="G31" s="298"/>
      <c r="H31" s="298"/>
      <c r="I31" s="303"/>
      <c r="J31" s="256"/>
      <c r="K31" s="257"/>
      <c r="L31" s="257"/>
      <c r="M31" s="257"/>
      <c r="N31" s="257"/>
      <c r="O31" s="258"/>
      <c r="P31" s="266"/>
      <c r="Q31" s="266"/>
      <c r="R31" s="266"/>
      <c r="S31" s="266"/>
      <c r="T31" s="266"/>
      <c r="U31" s="267"/>
      <c r="V31" s="265"/>
      <c r="W31" s="266"/>
      <c r="X31" s="266"/>
      <c r="Y31" s="266"/>
      <c r="Z31" s="266"/>
      <c r="AA31" s="267"/>
      <c r="AB31" s="283"/>
      <c r="AC31" s="284"/>
      <c r="AD31" s="284"/>
      <c r="AE31" s="284"/>
      <c r="AF31" s="284"/>
      <c r="AG31" s="286"/>
      <c r="AH31" s="274"/>
      <c r="AI31" s="275"/>
      <c r="AJ31" s="275"/>
      <c r="AK31" s="275"/>
      <c r="AL31" s="275"/>
      <c r="AM31" s="276"/>
      <c r="AN31" s="84"/>
      <c r="AO31" s="337"/>
      <c r="AP31" s="338"/>
      <c r="AQ31" s="338"/>
      <c r="AR31" s="338"/>
      <c r="AS31" s="338"/>
      <c r="AT31" s="33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305"/>
      <c r="C32" s="305"/>
      <c r="D32" s="306"/>
      <c r="E32" s="297"/>
      <c r="F32" s="298"/>
      <c r="G32" s="298"/>
      <c r="H32" s="298"/>
      <c r="I32" s="303"/>
      <c r="J32" s="256" t="str">
        <f>IF(AND('Mapa final'!$H$23="Baja",'Mapa final'!$L$23="Leve"),CONCATENATE("R",'Mapa final'!$A$23),"")</f>
        <v/>
      </c>
      <c r="K32" s="257"/>
      <c r="L32" s="257" t="str">
        <f ca="1">IF(AND('Mapa final'!$H$29="Baja",'Mapa final'!$L$29="Leve"),CONCATENATE("R",'Mapa final'!$A$29),"")</f>
        <v/>
      </c>
      <c r="M32" s="257"/>
      <c r="N32" s="257" t="str">
        <f ca="1">IF(AND('Mapa final'!$H$35="Baja",'Mapa final'!$L$35="Leve"),CONCATENATE("R",'Mapa final'!$A$35),"")</f>
        <v/>
      </c>
      <c r="O32" s="258"/>
      <c r="P32" s="266" t="str">
        <f>IF(AND('Mapa final'!$H$23="Baja",'Mapa final'!$L$23="Menor"),CONCATENATE("R",'Mapa final'!$A$23),"")</f>
        <v/>
      </c>
      <c r="Q32" s="266"/>
      <c r="R32" s="266" t="str">
        <f ca="1">IF(AND('Mapa final'!$H$29="Baja",'Mapa final'!$L$29="Menor"),CONCATENATE("R",'Mapa final'!$A$29),"")</f>
        <v/>
      </c>
      <c r="S32" s="266"/>
      <c r="T32" s="266" t="str">
        <f ca="1">IF(AND('Mapa final'!$H$35="Baja",'Mapa final'!$L$35="Menor"),CONCATENATE("R",'Mapa final'!$A$35),"")</f>
        <v/>
      </c>
      <c r="U32" s="267"/>
      <c r="V32" s="265" t="str">
        <f>IF(AND('Mapa final'!$H$23="Baja",'Mapa final'!$L$23="Moderado"),CONCATENATE("R",'Mapa final'!$A$23),"")</f>
        <v/>
      </c>
      <c r="W32" s="266"/>
      <c r="X32" s="266" t="str">
        <f ca="1">IF(AND('Mapa final'!$H$29="Baja",'Mapa final'!$L$29="Moderado"),CONCATENATE("R",'Mapa final'!$A$29),"")</f>
        <v/>
      </c>
      <c r="Y32" s="266"/>
      <c r="Z32" s="266" t="str">
        <f ca="1">IF(AND('Mapa final'!$H$35="Baja",'Mapa final'!$L$35="Moderado"),CONCATENATE("R",'Mapa final'!$A$35),"")</f>
        <v/>
      </c>
      <c r="AA32" s="267"/>
      <c r="AB32" s="283" t="str">
        <f>IF(AND('Mapa final'!$H$23="Baja",'Mapa final'!$L$23="Mayor"),CONCATENATE("R",'Mapa final'!$A$23),"")</f>
        <v/>
      </c>
      <c r="AC32" s="284"/>
      <c r="AD32" s="285" t="str">
        <f ca="1">IF(AND('Mapa final'!$H$29="Baja",'Mapa final'!$L$29="Mayor"),CONCATENATE("R",'Mapa final'!$A$29),"")</f>
        <v/>
      </c>
      <c r="AE32" s="285"/>
      <c r="AF32" s="285" t="str">
        <f ca="1">IF(AND('Mapa final'!$H$35="Baja",'Mapa final'!$L$35="Mayor"),CONCATENATE("R",'Mapa final'!$A$35),"")</f>
        <v/>
      </c>
      <c r="AG32" s="286"/>
      <c r="AH32" s="274" t="str">
        <f>IF(AND('Mapa final'!$H$23="Baja",'Mapa final'!$L$23="Catastrófico"),CONCATENATE("R",'Mapa final'!$A$23),"")</f>
        <v/>
      </c>
      <c r="AI32" s="275"/>
      <c r="AJ32" s="275" t="str">
        <f ca="1">IF(AND('Mapa final'!$H$29="Baja",'Mapa final'!$L$29="Catastrófico"),CONCATENATE("R",'Mapa final'!$A$29),"")</f>
        <v/>
      </c>
      <c r="AK32" s="275"/>
      <c r="AL32" s="275" t="str">
        <f ca="1">IF(AND('Mapa final'!$H$35="Baja",'Mapa final'!$L$35="Catastrófico"),CONCATENATE("R",'Mapa final'!$A$35),"")</f>
        <v/>
      </c>
      <c r="AM32" s="276"/>
      <c r="AN32" s="84"/>
      <c r="AO32" s="337"/>
      <c r="AP32" s="338"/>
      <c r="AQ32" s="338"/>
      <c r="AR32" s="338"/>
      <c r="AS32" s="338"/>
      <c r="AT32" s="33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305"/>
      <c r="C33" s="305"/>
      <c r="D33" s="306"/>
      <c r="E33" s="297"/>
      <c r="F33" s="298"/>
      <c r="G33" s="298"/>
      <c r="H33" s="298"/>
      <c r="I33" s="303"/>
      <c r="J33" s="256"/>
      <c r="K33" s="257"/>
      <c r="L33" s="257"/>
      <c r="M33" s="257"/>
      <c r="N33" s="257"/>
      <c r="O33" s="258"/>
      <c r="P33" s="266"/>
      <c r="Q33" s="266"/>
      <c r="R33" s="266"/>
      <c r="S33" s="266"/>
      <c r="T33" s="266"/>
      <c r="U33" s="267"/>
      <c r="V33" s="265"/>
      <c r="W33" s="266"/>
      <c r="X33" s="266"/>
      <c r="Y33" s="266"/>
      <c r="Z33" s="266"/>
      <c r="AA33" s="267"/>
      <c r="AB33" s="283"/>
      <c r="AC33" s="284"/>
      <c r="AD33" s="285"/>
      <c r="AE33" s="285"/>
      <c r="AF33" s="285"/>
      <c r="AG33" s="286"/>
      <c r="AH33" s="274"/>
      <c r="AI33" s="275"/>
      <c r="AJ33" s="275"/>
      <c r="AK33" s="275"/>
      <c r="AL33" s="275"/>
      <c r="AM33" s="276"/>
      <c r="AN33" s="84"/>
      <c r="AO33" s="337"/>
      <c r="AP33" s="338"/>
      <c r="AQ33" s="338"/>
      <c r="AR33" s="338"/>
      <c r="AS33" s="338"/>
      <c r="AT33" s="33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305"/>
      <c r="C34" s="305"/>
      <c r="D34" s="306"/>
      <c r="E34" s="297"/>
      <c r="F34" s="298"/>
      <c r="G34" s="298"/>
      <c r="H34" s="298"/>
      <c r="I34" s="303"/>
      <c r="J34" s="256" t="str">
        <f ca="1">IF(AND('Mapa final'!$H$41="Baja",'Mapa final'!$L$41="Leve"),CONCATENATE("R",'Mapa final'!$A$41),"")</f>
        <v/>
      </c>
      <c r="K34" s="257"/>
      <c r="L34" s="257" t="str">
        <f ca="1">IF(AND('Mapa final'!$H$47="Baja",'Mapa final'!$L$47="Leve"),CONCATENATE("R",'Mapa final'!$A$47),"")</f>
        <v/>
      </c>
      <c r="M34" s="257"/>
      <c r="N34" s="257" t="str">
        <f ca="1">IF(AND('Mapa final'!$H$53="Baja",'Mapa final'!$L$53="Leve"),CONCATENATE("R",'Mapa final'!$A$53),"")</f>
        <v/>
      </c>
      <c r="O34" s="258"/>
      <c r="P34" s="266" t="str">
        <f ca="1">IF(AND('Mapa final'!$H$41="Baja",'Mapa final'!$L$41="Menor"),CONCATENATE("R",'Mapa final'!$A$41),"")</f>
        <v/>
      </c>
      <c r="Q34" s="266"/>
      <c r="R34" s="266" t="str">
        <f ca="1">IF(AND('Mapa final'!$H$47="Baja",'Mapa final'!$L$47="Menor"),CONCATENATE("R",'Mapa final'!$A$47),"")</f>
        <v/>
      </c>
      <c r="S34" s="266"/>
      <c r="T34" s="266" t="str">
        <f ca="1">IF(AND('Mapa final'!$H$53="Baja",'Mapa final'!$L$53="Menor"),CONCATENATE("R",'Mapa final'!$A$53),"")</f>
        <v/>
      </c>
      <c r="U34" s="267"/>
      <c r="V34" s="265" t="str">
        <f ca="1">IF(AND('Mapa final'!$H$41="Baja",'Mapa final'!$L$41="Moderado"),CONCATENATE("R",'Mapa final'!$A$41),"")</f>
        <v/>
      </c>
      <c r="W34" s="266"/>
      <c r="X34" s="266" t="str">
        <f ca="1">IF(AND('Mapa final'!$H$47="Baja",'Mapa final'!$L$47="Moderado"),CONCATENATE("R",'Mapa final'!$A$47),"")</f>
        <v/>
      </c>
      <c r="Y34" s="266"/>
      <c r="Z34" s="266" t="str">
        <f ca="1">IF(AND('Mapa final'!$H$53="Baja",'Mapa final'!$L$53="Moderado"),CONCATENATE("R",'Mapa final'!$A$53),"")</f>
        <v/>
      </c>
      <c r="AA34" s="267"/>
      <c r="AB34" s="283" t="str">
        <f ca="1">IF(AND('Mapa final'!$H$41="Baja",'Mapa final'!$L$41="Mayor"),CONCATENATE("R",'Mapa final'!$A$41),"")</f>
        <v/>
      </c>
      <c r="AC34" s="284"/>
      <c r="AD34" s="285" t="str">
        <f ca="1">IF(AND('Mapa final'!$H$47="Baja",'Mapa final'!$L$47="Mayor"),CONCATENATE("R",'Mapa final'!$A$47),"")</f>
        <v/>
      </c>
      <c r="AE34" s="285"/>
      <c r="AF34" s="285" t="str">
        <f ca="1">IF(AND('Mapa final'!$H$53="Baja",'Mapa final'!$L$53="Mayor"),CONCATENATE("R",'Mapa final'!$A$53),"")</f>
        <v/>
      </c>
      <c r="AG34" s="286"/>
      <c r="AH34" s="274" t="str">
        <f ca="1">IF(AND('Mapa final'!$H$41="Baja",'Mapa final'!$L$41="Catastrófico"),CONCATENATE("R",'Mapa final'!$A$41),"")</f>
        <v/>
      </c>
      <c r="AI34" s="275"/>
      <c r="AJ34" s="275" t="str">
        <f ca="1">IF(AND('Mapa final'!$H$47="Baja",'Mapa final'!$L$47="Catastrófico"),CONCATENATE("R",'Mapa final'!$A$47),"")</f>
        <v/>
      </c>
      <c r="AK34" s="275"/>
      <c r="AL34" s="275" t="str">
        <f ca="1">IF(AND('Mapa final'!$H$53="Baja",'Mapa final'!$L$53="Catastrófico"),CONCATENATE("R",'Mapa final'!$A$53),"")</f>
        <v/>
      </c>
      <c r="AM34" s="276"/>
      <c r="AN34" s="84"/>
      <c r="AO34" s="337"/>
      <c r="AP34" s="338"/>
      <c r="AQ34" s="338"/>
      <c r="AR34" s="338"/>
      <c r="AS34" s="338"/>
      <c r="AT34" s="33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305"/>
      <c r="C35" s="305"/>
      <c r="D35" s="306"/>
      <c r="E35" s="297"/>
      <c r="F35" s="298"/>
      <c r="G35" s="298"/>
      <c r="H35" s="298"/>
      <c r="I35" s="303"/>
      <c r="J35" s="256"/>
      <c r="K35" s="257"/>
      <c r="L35" s="257"/>
      <c r="M35" s="257"/>
      <c r="N35" s="257"/>
      <c r="O35" s="258"/>
      <c r="P35" s="266"/>
      <c r="Q35" s="266"/>
      <c r="R35" s="266"/>
      <c r="S35" s="266"/>
      <c r="T35" s="266"/>
      <c r="U35" s="267"/>
      <c r="V35" s="265"/>
      <c r="W35" s="266"/>
      <c r="X35" s="266"/>
      <c r="Y35" s="266"/>
      <c r="Z35" s="266"/>
      <c r="AA35" s="267"/>
      <c r="AB35" s="283"/>
      <c r="AC35" s="284"/>
      <c r="AD35" s="285"/>
      <c r="AE35" s="285"/>
      <c r="AF35" s="285"/>
      <c r="AG35" s="286"/>
      <c r="AH35" s="274"/>
      <c r="AI35" s="275"/>
      <c r="AJ35" s="275"/>
      <c r="AK35" s="275"/>
      <c r="AL35" s="275"/>
      <c r="AM35" s="276"/>
      <c r="AN35" s="84"/>
      <c r="AO35" s="337"/>
      <c r="AP35" s="338"/>
      <c r="AQ35" s="338"/>
      <c r="AR35" s="338"/>
      <c r="AS35" s="338"/>
      <c r="AT35" s="339"/>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305"/>
      <c r="C36" s="305"/>
      <c r="D36" s="306"/>
      <c r="E36" s="297"/>
      <c r="F36" s="298"/>
      <c r="G36" s="298"/>
      <c r="H36" s="298"/>
      <c r="I36" s="303"/>
      <c r="J36" s="256" t="str">
        <f ca="1">IF(AND('Mapa final'!$H$59="Baja",'Mapa final'!$L$59="Leve"),CONCATENATE("R",'Mapa final'!$A$59),"")</f>
        <v/>
      </c>
      <c r="K36" s="257"/>
      <c r="L36" s="257" t="str">
        <f>IF(AND('Mapa final'!$H$65="Baja",'Mapa final'!$L$65="Leve"),CONCATENATE("R",'Mapa final'!$A$65),"")</f>
        <v/>
      </c>
      <c r="M36" s="257"/>
      <c r="N36" s="257" t="str">
        <f>IF(AND('Mapa final'!$H$71="Baja",'Mapa final'!$L$71="Leve"),CONCATENATE("R",'Mapa final'!$A$71),"")</f>
        <v/>
      </c>
      <c r="O36" s="258"/>
      <c r="P36" s="266" t="str">
        <f ca="1">IF(AND('Mapa final'!$H$59="Baja",'Mapa final'!$L$59="Menor"),CONCATENATE("R",'Mapa final'!$A$59),"")</f>
        <v/>
      </c>
      <c r="Q36" s="266"/>
      <c r="R36" s="266" t="str">
        <f>IF(AND('Mapa final'!$H$65="Baja",'Mapa final'!$L$65="Menor"),CONCATENATE("R",'Mapa final'!$A$65),"")</f>
        <v/>
      </c>
      <c r="S36" s="266"/>
      <c r="T36" s="266" t="str">
        <f>IF(AND('Mapa final'!$H$71="Baja",'Mapa final'!$L$71="Menor"),CONCATENATE("R",'Mapa final'!$A$71),"")</f>
        <v/>
      </c>
      <c r="U36" s="267"/>
      <c r="V36" s="265" t="str">
        <f ca="1">IF(AND('Mapa final'!$H$59="Baja",'Mapa final'!$L$59="Moderado"),CONCATENATE("R",'Mapa final'!$A$59),"")</f>
        <v/>
      </c>
      <c r="W36" s="266"/>
      <c r="X36" s="266" t="str">
        <f>IF(AND('Mapa final'!$H$65="Baja",'Mapa final'!$L$65="Moderado"),CONCATENATE("R",'Mapa final'!$A$65),"")</f>
        <v/>
      </c>
      <c r="Y36" s="266"/>
      <c r="Z36" s="266" t="str">
        <f>IF(AND('Mapa final'!$H$71="Baja",'Mapa final'!$L$71="Moderado"),CONCATENATE("R",'Mapa final'!$A$71),"")</f>
        <v/>
      </c>
      <c r="AA36" s="267"/>
      <c r="AB36" s="283" t="str">
        <f ca="1">IF(AND('Mapa final'!$H$59="Baja",'Mapa final'!$L$59="Mayor"),CONCATENATE("R",'Mapa final'!$A$59),"")</f>
        <v/>
      </c>
      <c r="AC36" s="284"/>
      <c r="AD36" s="285" t="str">
        <f>IF(AND('Mapa final'!$H$65="Baja",'Mapa final'!$L$65="Mayor"),CONCATENATE("R",'Mapa final'!$A$65),"")</f>
        <v/>
      </c>
      <c r="AE36" s="285"/>
      <c r="AF36" s="285" t="str">
        <f>IF(AND('Mapa final'!$H$71="Baja",'Mapa final'!$L$71="Mayor"),CONCATENATE("R",'Mapa final'!$A$71),"")</f>
        <v/>
      </c>
      <c r="AG36" s="286"/>
      <c r="AH36" s="274" t="str">
        <f ca="1">IF(AND('Mapa final'!$H$59="Baja",'Mapa final'!$L$59="Catastrófico"),CONCATENATE("R",'Mapa final'!$A$59),"")</f>
        <v/>
      </c>
      <c r="AI36" s="275"/>
      <c r="AJ36" s="275" t="str">
        <f>IF(AND('Mapa final'!$H$65="Baja",'Mapa final'!$L$65="Catastrófico"),CONCATENATE("R",'Mapa final'!$A$65),"")</f>
        <v/>
      </c>
      <c r="AK36" s="275"/>
      <c r="AL36" s="275" t="str">
        <f>IF(AND('Mapa final'!$H$71="Baja",'Mapa final'!$L$71="Catastrófico"),CONCATENATE("R",'Mapa final'!$A$71),"")</f>
        <v/>
      </c>
      <c r="AM36" s="276"/>
      <c r="AN36" s="84"/>
      <c r="AO36" s="337"/>
      <c r="AP36" s="338"/>
      <c r="AQ36" s="338"/>
      <c r="AR36" s="338"/>
      <c r="AS36" s="338"/>
      <c r="AT36" s="339"/>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305"/>
      <c r="C37" s="305"/>
      <c r="D37" s="306"/>
      <c r="E37" s="300"/>
      <c r="F37" s="301"/>
      <c r="G37" s="301"/>
      <c r="H37" s="301"/>
      <c r="I37" s="301"/>
      <c r="J37" s="259"/>
      <c r="K37" s="260"/>
      <c r="L37" s="260"/>
      <c r="M37" s="260"/>
      <c r="N37" s="260"/>
      <c r="O37" s="261"/>
      <c r="P37" s="269"/>
      <c r="Q37" s="269"/>
      <c r="R37" s="269"/>
      <c r="S37" s="269"/>
      <c r="T37" s="269"/>
      <c r="U37" s="270"/>
      <c r="V37" s="268"/>
      <c r="W37" s="269"/>
      <c r="X37" s="269"/>
      <c r="Y37" s="269"/>
      <c r="Z37" s="269"/>
      <c r="AA37" s="270"/>
      <c r="AB37" s="287"/>
      <c r="AC37" s="288"/>
      <c r="AD37" s="288"/>
      <c r="AE37" s="288"/>
      <c r="AF37" s="288"/>
      <c r="AG37" s="289"/>
      <c r="AH37" s="277"/>
      <c r="AI37" s="278"/>
      <c r="AJ37" s="278"/>
      <c r="AK37" s="278"/>
      <c r="AL37" s="278"/>
      <c r="AM37" s="279"/>
      <c r="AN37" s="84"/>
      <c r="AO37" s="340"/>
      <c r="AP37" s="341"/>
      <c r="AQ37" s="341"/>
      <c r="AR37" s="341"/>
      <c r="AS37" s="341"/>
      <c r="AT37" s="342"/>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305"/>
      <c r="C38" s="305"/>
      <c r="D38" s="306"/>
      <c r="E38" s="294" t="s">
        <v>113</v>
      </c>
      <c r="F38" s="295"/>
      <c r="G38" s="295"/>
      <c r="H38" s="295"/>
      <c r="I38" s="296"/>
      <c r="J38" s="262" t="str">
        <f>IF(AND('Mapa final'!$H$10="Muy Baja",'Mapa final'!$L$10="Leve"),CONCATENATE("R",'Mapa final'!$A$10),"")</f>
        <v/>
      </c>
      <c r="K38" s="263"/>
      <c r="L38" s="263" t="str">
        <f>IF(AND('Mapa final'!$H$15="Muy Baja",'Mapa final'!$L$15="Leve"),CONCATENATE("R",'Mapa final'!$A$15),"")</f>
        <v/>
      </c>
      <c r="M38" s="263"/>
      <c r="N38" s="263" t="str">
        <f>IF(AND('Mapa final'!$H$21="Muy Baja",'Mapa final'!$L$21="Leve"),CONCATENATE("R",'Mapa final'!$A$21),"")</f>
        <v/>
      </c>
      <c r="O38" s="264"/>
      <c r="P38" s="262" t="str">
        <f>IF(AND('Mapa final'!$H$10="Muy Baja",'Mapa final'!$L$10="Menor"),CONCATENATE("R",'Mapa final'!$A$10),"")</f>
        <v/>
      </c>
      <c r="Q38" s="263"/>
      <c r="R38" s="263" t="str">
        <f>IF(AND('Mapa final'!$H$15="Muy Baja",'Mapa final'!$L$15="Menor"),CONCATENATE("R",'Mapa final'!$A$15),"")</f>
        <v/>
      </c>
      <c r="S38" s="263"/>
      <c r="T38" s="263" t="str">
        <f>IF(AND('Mapa final'!$H$21="Muy Baja",'Mapa final'!$L$21="Menor"),CONCATENATE("R",'Mapa final'!$A$21),"")</f>
        <v/>
      </c>
      <c r="U38" s="264"/>
      <c r="V38" s="271" t="str">
        <f>IF(AND('Mapa final'!$H$10="Muy Baja",'Mapa final'!$L$10="Moderado"),CONCATENATE("R",'Mapa final'!$A$10),"")</f>
        <v/>
      </c>
      <c r="W38" s="272"/>
      <c r="X38" s="272" t="str">
        <f>IF(AND('Mapa final'!$H$15="Muy Baja",'Mapa final'!$L$15="Moderado"),CONCATENATE("R",'Mapa final'!$A$15),"")</f>
        <v/>
      </c>
      <c r="Y38" s="272"/>
      <c r="Z38" s="272" t="str">
        <f>IF(AND('Mapa final'!$H$21="Muy Baja",'Mapa final'!$L$21="Moderado"),CONCATENATE("R",'Mapa final'!$A$21),"")</f>
        <v/>
      </c>
      <c r="AA38" s="273"/>
      <c r="AB38" s="290" t="str">
        <f>IF(AND('Mapa final'!$H$10="Muy Baja",'Mapa final'!$L$10="Mayor"),CONCATENATE("R",'Mapa final'!$A$10),"")</f>
        <v/>
      </c>
      <c r="AC38" s="291"/>
      <c r="AD38" s="291" t="str">
        <f>IF(AND('Mapa final'!$H$15="Muy Baja",'Mapa final'!$L$15="Mayor"),CONCATENATE("R",'Mapa final'!$A$15),"")</f>
        <v/>
      </c>
      <c r="AE38" s="291"/>
      <c r="AF38" s="291" t="str">
        <f>IF(AND('Mapa final'!$H$21="Muy Baja",'Mapa final'!$L$21="Mayor"),CONCATENATE("R",'Mapa final'!$A$21),"")</f>
        <v/>
      </c>
      <c r="AG38" s="292"/>
      <c r="AH38" s="280" t="str">
        <f>IF(AND('Mapa final'!$H$10="Muy Baja",'Mapa final'!$L$10="Catastrófico"),CONCATENATE("R",'Mapa final'!$A$10),"")</f>
        <v/>
      </c>
      <c r="AI38" s="281"/>
      <c r="AJ38" s="281" t="str">
        <f>IF(AND('Mapa final'!$H$15="Muy Baja",'Mapa final'!$L$15="Catastrófico"),CONCATENATE("R",'Mapa final'!$A$15),"")</f>
        <v/>
      </c>
      <c r="AK38" s="281"/>
      <c r="AL38" s="281" t="str">
        <f>IF(AND('Mapa final'!$H$21="Muy Baja",'Mapa final'!$L$21="Catastrófico"),CONCATENATE("R",'Mapa final'!$A$21),"")</f>
        <v/>
      </c>
      <c r="AM38" s="282"/>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305"/>
      <c r="C39" s="305"/>
      <c r="D39" s="306"/>
      <c r="E39" s="297"/>
      <c r="F39" s="298"/>
      <c r="G39" s="298"/>
      <c r="H39" s="298"/>
      <c r="I39" s="299"/>
      <c r="J39" s="256"/>
      <c r="K39" s="257"/>
      <c r="L39" s="257"/>
      <c r="M39" s="257"/>
      <c r="N39" s="257"/>
      <c r="O39" s="258"/>
      <c r="P39" s="256"/>
      <c r="Q39" s="257"/>
      <c r="R39" s="257"/>
      <c r="S39" s="257"/>
      <c r="T39" s="257"/>
      <c r="U39" s="258"/>
      <c r="V39" s="265"/>
      <c r="W39" s="266"/>
      <c r="X39" s="266"/>
      <c r="Y39" s="266"/>
      <c r="Z39" s="266"/>
      <c r="AA39" s="267"/>
      <c r="AB39" s="283"/>
      <c r="AC39" s="284"/>
      <c r="AD39" s="284"/>
      <c r="AE39" s="284"/>
      <c r="AF39" s="284"/>
      <c r="AG39" s="286"/>
      <c r="AH39" s="274"/>
      <c r="AI39" s="275"/>
      <c r="AJ39" s="275"/>
      <c r="AK39" s="275"/>
      <c r="AL39" s="275"/>
      <c r="AM39" s="276"/>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305"/>
      <c r="C40" s="305"/>
      <c r="D40" s="306"/>
      <c r="E40" s="297"/>
      <c r="F40" s="298"/>
      <c r="G40" s="298"/>
      <c r="H40" s="298"/>
      <c r="I40" s="299"/>
      <c r="J40" s="256" t="str">
        <f>IF(AND('Mapa final'!$H$23="Muy Baja",'Mapa final'!$L$23="Leve"),CONCATENATE("R",'Mapa final'!$A$23),"")</f>
        <v/>
      </c>
      <c r="K40" s="257"/>
      <c r="L40" s="257" t="str">
        <f ca="1">IF(AND('Mapa final'!$H$29="Muy Baja",'Mapa final'!$L$29="Leve"),CONCATENATE("R",'Mapa final'!$A$29),"")</f>
        <v/>
      </c>
      <c r="M40" s="257"/>
      <c r="N40" s="257" t="str">
        <f ca="1">IF(AND('Mapa final'!$H$35="Muy Baja",'Mapa final'!$L$35="Leve"),CONCATENATE("R",'Mapa final'!$A$35),"")</f>
        <v/>
      </c>
      <c r="O40" s="258"/>
      <c r="P40" s="256" t="str">
        <f>IF(AND('Mapa final'!$H$23="Muy Baja",'Mapa final'!$L$23="Menor"),CONCATENATE("R",'Mapa final'!$A$23),"")</f>
        <v/>
      </c>
      <c r="Q40" s="257"/>
      <c r="R40" s="257" t="str">
        <f ca="1">IF(AND('Mapa final'!$H$29="Muy Baja",'Mapa final'!$L$29="Menor"),CONCATENATE("R",'Mapa final'!$A$29),"")</f>
        <v/>
      </c>
      <c r="S40" s="257"/>
      <c r="T40" s="257" t="str">
        <f ca="1">IF(AND('Mapa final'!$H$35="Muy Baja",'Mapa final'!$L$35="Menor"),CONCATENATE("R",'Mapa final'!$A$35),"")</f>
        <v/>
      </c>
      <c r="U40" s="258"/>
      <c r="V40" s="265" t="str">
        <f>IF(AND('Mapa final'!$H$23="Muy Baja",'Mapa final'!$L$23="Moderado"),CONCATENATE("R",'Mapa final'!$A$23),"")</f>
        <v/>
      </c>
      <c r="W40" s="266"/>
      <c r="X40" s="266" t="str">
        <f ca="1">IF(AND('Mapa final'!$H$29="Muy Baja",'Mapa final'!$L$29="Moderado"),CONCATENATE("R",'Mapa final'!$A$29),"")</f>
        <v/>
      </c>
      <c r="Y40" s="266"/>
      <c r="Z40" s="266" t="str">
        <f ca="1">IF(AND('Mapa final'!$H$35="Muy Baja",'Mapa final'!$L$35="Moderado"),CONCATENATE("R",'Mapa final'!$A$35),"")</f>
        <v/>
      </c>
      <c r="AA40" s="267"/>
      <c r="AB40" s="283" t="str">
        <f>IF(AND('Mapa final'!$H$23="Muy Baja",'Mapa final'!$L$23="Mayor"),CONCATENATE("R",'Mapa final'!$A$23),"")</f>
        <v/>
      </c>
      <c r="AC40" s="284"/>
      <c r="AD40" s="285" t="str">
        <f ca="1">IF(AND('Mapa final'!$H$29="Muy Baja",'Mapa final'!$L$29="Mayor"),CONCATENATE("R",'Mapa final'!$A$29),"")</f>
        <v/>
      </c>
      <c r="AE40" s="285"/>
      <c r="AF40" s="285" t="str">
        <f ca="1">IF(AND('Mapa final'!$H$35="Muy Baja",'Mapa final'!$L$35="Mayor"),CONCATENATE("R",'Mapa final'!$A$35),"")</f>
        <v/>
      </c>
      <c r="AG40" s="286"/>
      <c r="AH40" s="274" t="str">
        <f>IF(AND('Mapa final'!$H$23="Muy Baja",'Mapa final'!$L$23="Catastrófico"),CONCATENATE("R",'Mapa final'!$A$23),"")</f>
        <v/>
      </c>
      <c r="AI40" s="275"/>
      <c r="AJ40" s="275" t="str">
        <f ca="1">IF(AND('Mapa final'!$H$29="Muy Baja",'Mapa final'!$L$29="Catastrófico"),CONCATENATE("R",'Mapa final'!$A$29),"")</f>
        <v/>
      </c>
      <c r="AK40" s="275"/>
      <c r="AL40" s="275" t="str">
        <f ca="1">IF(AND('Mapa final'!$H$35="Muy Baja",'Mapa final'!$L$35="Catastrófico"),CONCATENATE("R",'Mapa final'!$A$35),"")</f>
        <v/>
      </c>
      <c r="AM40" s="276"/>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305"/>
      <c r="C41" s="305"/>
      <c r="D41" s="306"/>
      <c r="E41" s="297"/>
      <c r="F41" s="298"/>
      <c r="G41" s="298"/>
      <c r="H41" s="298"/>
      <c r="I41" s="299"/>
      <c r="J41" s="256"/>
      <c r="K41" s="257"/>
      <c r="L41" s="257"/>
      <c r="M41" s="257"/>
      <c r="N41" s="257"/>
      <c r="O41" s="258"/>
      <c r="P41" s="256"/>
      <c r="Q41" s="257"/>
      <c r="R41" s="257"/>
      <c r="S41" s="257"/>
      <c r="T41" s="257"/>
      <c r="U41" s="258"/>
      <c r="V41" s="265"/>
      <c r="W41" s="266"/>
      <c r="X41" s="266"/>
      <c r="Y41" s="266"/>
      <c r="Z41" s="266"/>
      <c r="AA41" s="267"/>
      <c r="AB41" s="283"/>
      <c r="AC41" s="284"/>
      <c r="AD41" s="285"/>
      <c r="AE41" s="285"/>
      <c r="AF41" s="285"/>
      <c r="AG41" s="286"/>
      <c r="AH41" s="274"/>
      <c r="AI41" s="275"/>
      <c r="AJ41" s="275"/>
      <c r="AK41" s="275"/>
      <c r="AL41" s="275"/>
      <c r="AM41" s="276"/>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305"/>
      <c r="C42" s="305"/>
      <c r="D42" s="306"/>
      <c r="E42" s="297"/>
      <c r="F42" s="298"/>
      <c r="G42" s="298"/>
      <c r="H42" s="298"/>
      <c r="I42" s="299"/>
      <c r="J42" s="256" t="str">
        <f ca="1">IF(AND('Mapa final'!$H$41="Muy Baja",'Mapa final'!$L$41="Leve"),CONCATENATE("R",'Mapa final'!$A$41),"")</f>
        <v/>
      </c>
      <c r="K42" s="257"/>
      <c r="L42" s="257" t="str">
        <f ca="1">IF(AND('Mapa final'!$H$47="Muy Baja",'Mapa final'!$L$47="Leve"),CONCATENATE("R",'Mapa final'!$A$47),"")</f>
        <v/>
      </c>
      <c r="M42" s="257"/>
      <c r="N42" s="257" t="str">
        <f ca="1">IF(AND('Mapa final'!$H$53="Muy Baja",'Mapa final'!$L$53="Leve"),CONCATENATE("R",'Mapa final'!$A$53),"")</f>
        <v/>
      </c>
      <c r="O42" s="258"/>
      <c r="P42" s="256" t="str">
        <f ca="1">IF(AND('Mapa final'!$H$41="Muy Baja",'Mapa final'!$L$41="Menor"),CONCATENATE("R",'Mapa final'!$A$41),"")</f>
        <v/>
      </c>
      <c r="Q42" s="257"/>
      <c r="R42" s="257" t="str">
        <f ca="1">IF(AND('Mapa final'!$H$47="Muy Baja",'Mapa final'!$L$47="Menor"),CONCATENATE("R",'Mapa final'!$A$47),"")</f>
        <v/>
      </c>
      <c r="S42" s="257"/>
      <c r="T42" s="257" t="str">
        <f ca="1">IF(AND('Mapa final'!$H$53="Muy Baja",'Mapa final'!$L$53="Menor"),CONCATENATE("R",'Mapa final'!$A$53),"")</f>
        <v/>
      </c>
      <c r="U42" s="258"/>
      <c r="V42" s="265" t="str">
        <f ca="1">IF(AND('Mapa final'!$H$41="Muy Baja",'Mapa final'!$L$41="Moderado"),CONCATENATE("R",'Mapa final'!$A$41),"")</f>
        <v/>
      </c>
      <c r="W42" s="266"/>
      <c r="X42" s="266" t="str">
        <f ca="1">IF(AND('Mapa final'!$H$47="Muy Baja",'Mapa final'!$L$47="Moderado"),CONCATENATE("R",'Mapa final'!$A$47),"")</f>
        <v/>
      </c>
      <c r="Y42" s="266"/>
      <c r="Z42" s="266" t="str">
        <f ca="1">IF(AND('Mapa final'!$H$53="Muy Baja",'Mapa final'!$L$53="Moderado"),CONCATENATE("R",'Mapa final'!$A$53),"")</f>
        <v/>
      </c>
      <c r="AA42" s="267"/>
      <c r="AB42" s="283" t="str">
        <f ca="1">IF(AND('Mapa final'!$H$41="Muy Baja",'Mapa final'!$L$41="Mayor"),CONCATENATE("R",'Mapa final'!$A$41),"")</f>
        <v/>
      </c>
      <c r="AC42" s="284"/>
      <c r="AD42" s="285" t="str">
        <f ca="1">IF(AND('Mapa final'!$H$47="Muy Baja",'Mapa final'!$L$47="Mayor"),CONCATENATE("R",'Mapa final'!$A$47),"")</f>
        <v/>
      </c>
      <c r="AE42" s="285"/>
      <c r="AF42" s="285" t="str">
        <f ca="1">IF(AND('Mapa final'!$H$53="Muy Baja",'Mapa final'!$L$53="Mayor"),CONCATENATE("R",'Mapa final'!$A$53),"")</f>
        <v/>
      </c>
      <c r="AG42" s="286"/>
      <c r="AH42" s="274" t="str">
        <f ca="1">IF(AND('Mapa final'!$H$41="Muy Baja",'Mapa final'!$L$41="Catastrófico"),CONCATENATE("R",'Mapa final'!$A$41),"")</f>
        <v/>
      </c>
      <c r="AI42" s="275"/>
      <c r="AJ42" s="275" t="str">
        <f ca="1">IF(AND('Mapa final'!$H$47="Muy Baja",'Mapa final'!$L$47="Catastrófico"),CONCATENATE("R",'Mapa final'!$A$47),"")</f>
        <v/>
      </c>
      <c r="AK42" s="275"/>
      <c r="AL42" s="275" t="str">
        <f ca="1">IF(AND('Mapa final'!$H$53="Muy Baja",'Mapa final'!$L$53="Catastrófico"),CONCATENATE("R",'Mapa final'!$A$53),"")</f>
        <v/>
      </c>
      <c r="AM42" s="276"/>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305"/>
      <c r="C43" s="305"/>
      <c r="D43" s="306"/>
      <c r="E43" s="297"/>
      <c r="F43" s="298"/>
      <c r="G43" s="298"/>
      <c r="H43" s="298"/>
      <c r="I43" s="299"/>
      <c r="J43" s="256"/>
      <c r="K43" s="257"/>
      <c r="L43" s="257"/>
      <c r="M43" s="257"/>
      <c r="N43" s="257"/>
      <c r="O43" s="258"/>
      <c r="P43" s="256"/>
      <c r="Q43" s="257"/>
      <c r="R43" s="257"/>
      <c r="S43" s="257"/>
      <c r="T43" s="257"/>
      <c r="U43" s="258"/>
      <c r="V43" s="265"/>
      <c r="W43" s="266"/>
      <c r="X43" s="266"/>
      <c r="Y43" s="266"/>
      <c r="Z43" s="266"/>
      <c r="AA43" s="267"/>
      <c r="AB43" s="283"/>
      <c r="AC43" s="284"/>
      <c r="AD43" s="285"/>
      <c r="AE43" s="285"/>
      <c r="AF43" s="285"/>
      <c r="AG43" s="286"/>
      <c r="AH43" s="274"/>
      <c r="AI43" s="275"/>
      <c r="AJ43" s="275"/>
      <c r="AK43" s="275"/>
      <c r="AL43" s="275"/>
      <c r="AM43" s="276"/>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305"/>
      <c r="C44" s="305"/>
      <c r="D44" s="306"/>
      <c r="E44" s="297"/>
      <c r="F44" s="298"/>
      <c r="G44" s="298"/>
      <c r="H44" s="298"/>
      <c r="I44" s="299"/>
      <c r="J44" s="256" t="str">
        <f ca="1">IF(AND('Mapa final'!$H$59="Muy Baja",'Mapa final'!$L$59="Leve"),CONCATENATE("R",'Mapa final'!$A$59),"")</f>
        <v/>
      </c>
      <c r="K44" s="257"/>
      <c r="L44" s="257" t="str">
        <f>IF(AND('Mapa final'!$H$65="Muy Baja",'Mapa final'!$L$65="Leve"),CONCATENATE("R",'Mapa final'!$A$65),"")</f>
        <v/>
      </c>
      <c r="M44" s="257"/>
      <c r="N44" s="257" t="str">
        <f>IF(AND('Mapa final'!$H$71="Muy Baja",'Mapa final'!$L$71="Leve"),CONCATENATE("R",'Mapa final'!$A$71),"")</f>
        <v/>
      </c>
      <c r="O44" s="258"/>
      <c r="P44" s="256" t="str">
        <f ca="1">IF(AND('Mapa final'!$H$59="Muy Baja",'Mapa final'!$L$59="Menor"),CONCATENATE("R",'Mapa final'!$A$59),"")</f>
        <v/>
      </c>
      <c r="Q44" s="257"/>
      <c r="R44" s="257" t="str">
        <f>IF(AND('Mapa final'!$H$65="Muy Baja",'Mapa final'!$L$65="Menor"),CONCATENATE("R",'Mapa final'!$A$65),"")</f>
        <v/>
      </c>
      <c r="S44" s="257"/>
      <c r="T44" s="257" t="str">
        <f>IF(AND('Mapa final'!$H$71="Muy Baja",'Mapa final'!$L$71="Menor"),CONCATENATE("R",'Mapa final'!$A$71),"")</f>
        <v/>
      </c>
      <c r="U44" s="258"/>
      <c r="V44" s="265" t="str">
        <f ca="1">IF(AND('Mapa final'!$H$59="Muy Baja",'Mapa final'!$L$59="Moderado"),CONCATENATE("R",'Mapa final'!$A$59),"")</f>
        <v/>
      </c>
      <c r="W44" s="266"/>
      <c r="X44" s="266" t="str">
        <f>IF(AND('Mapa final'!$H$65="Muy Baja",'Mapa final'!$L$65="Moderado"),CONCATENATE("R",'Mapa final'!$A$65),"")</f>
        <v/>
      </c>
      <c r="Y44" s="266"/>
      <c r="Z44" s="266" t="str">
        <f>IF(AND('Mapa final'!$H$71="Muy Baja",'Mapa final'!$L$71="Moderado"),CONCATENATE("R",'Mapa final'!$A$71),"")</f>
        <v/>
      </c>
      <c r="AA44" s="267"/>
      <c r="AB44" s="283" t="str">
        <f ca="1">IF(AND('Mapa final'!$H$59="Muy Baja",'Mapa final'!$L$59="Mayor"),CONCATENATE("R",'Mapa final'!$A$59),"")</f>
        <v/>
      </c>
      <c r="AC44" s="284"/>
      <c r="AD44" s="285" t="str">
        <f>IF(AND('Mapa final'!$H$65="Muy Baja",'Mapa final'!$L$65="Mayor"),CONCATENATE("R",'Mapa final'!$A$65),"")</f>
        <v/>
      </c>
      <c r="AE44" s="285"/>
      <c r="AF44" s="285" t="str">
        <f>IF(AND('Mapa final'!$H$71="Muy Baja",'Mapa final'!$L$71="Mayor"),CONCATENATE("R",'Mapa final'!$A$71),"")</f>
        <v/>
      </c>
      <c r="AG44" s="286"/>
      <c r="AH44" s="274" t="str">
        <f ca="1">IF(AND('Mapa final'!$H$59="Muy Baja",'Mapa final'!$L$59="Catastrófico"),CONCATENATE("R",'Mapa final'!$A$59),"")</f>
        <v/>
      </c>
      <c r="AI44" s="275"/>
      <c r="AJ44" s="275" t="str">
        <f>IF(AND('Mapa final'!$H$65="Muy Baja",'Mapa final'!$L$65="Catastrófico"),CONCATENATE("R",'Mapa final'!$A$65),"")</f>
        <v/>
      </c>
      <c r="AK44" s="275"/>
      <c r="AL44" s="275" t="str">
        <f>IF(AND('Mapa final'!$H$71="Muy Baja",'Mapa final'!$L$71="Catastrófico"),CONCATENATE("R",'Mapa final'!$A$71),"")</f>
        <v/>
      </c>
      <c r="AM44" s="276"/>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305"/>
      <c r="C45" s="305"/>
      <c r="D45" s="306"/>
      <c r="E45" s="300"/>
      <c r="F45" s="301"/>
      <c r="G45" s="301"/>
      <c r="H45" s="301"/>
      <c r="I45" s="302"/>
      <c r="J45" s="259"/>
      <c r="K45" s="260"/>
      <c r="L45" s="260"/>
      <c r="M45" s="260"/>
      <c r="N45" s="260"/>
      <c r="O45" s="261"/>
      <c r="P45" s="259"/>
      <c r="Q45" s="260"/>
      <c r="R45" s="260"/>
      <c r="S45" s="260"/>
      <c r="T45" s="260"/>
      <c r="U45" s="261"/>
      <c r="V45" s="268"/>
      <c r="W45" s="269"/>
      <c r="X45" s="269"/>
      <c r="Y45" s="269"/>
      <c r="Z45" s="269"/>
      <c r="AA45" s="270"/>
      <c r="AB45" s="287"/>
      <c r="AC45" s="288"/>
      <c r="AD45" s="288"/>
      <c r="AE45" s="288"/>
      <c r="AF45" s="288"/>
      <c r="AG45" s="289"/>
      <c r="AH45" s="277"/>
      <c r="AI45" s="278"/>
      <c r="AJ45" s="278"/>
      <c r="AK45" s="278"/>
      <c r="AL45" s="278"/>
      <c r="AM45" s="279"/>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94" t="s">
        <v>112</v>
      </c>
      <c r="K46" s="295"/>
      <c r="L46" s="295"/>
      <c r="M46" s="295"/>
      <c r="N46" s="295"/>
      <c r="O46" s="296"/>
      <c r="P46" s="294" t="s">
        <v>111</v>
      </c>
      <c r="Q46" s="295"/>
      <c r="R46" s="295"/>
      <c r="S46" s="295"/>
      <c r="T46" s="295"/>
      <c r="U46" s="296"/>
      <c r="V46" s="294" t="s">
        <v>110</v>
      </c>
      <c r="W46" s="295"/>
      <c r="X46" s="295"/>
      <c r="Y46" s="295"/>
      <c r="Z46" s="295"/>
      <c r="AA46" s="296"/>
      <c r="AB46" s="294" t="s">
        <v>109</v>
      </c>
      <c r="AC46" s="304"/>
      <c r="AD46" s="295"/>
      <c r="AE46" s="295"/>
      <c r="AF46" s="295"/>
      <c r="AG46" s="296"/>
      <c r="AH46" s="294" t="s">
        <v>108</v>
      </c>
      <c r="AI46" s="295"/>
      <c r="AJ46" s="295"/>
      <c r="AK46" s="295"/>
      <c r="AL46" s="295"/>
      <c r="AM46" s="296"/>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97"/>
      <c r="K47" s="298"/>
      <c r="L47" s="298"/>
      <c r="M47" s="298"/>
      <c r="N47" s="298"/>
      <c r="O47" s="299"/>
      <c r="P47" s="297"/>
      <c r="Q47" s="298"/>
      <c r="R47" s="298"/>
      <c r="S47" s="298"/>
      <c r="T47" s="298"/>
      <c r="U47" s="299"/>
      <c r="V47" s="297"/>
      <c r="W47" s="298"/>
      <c r="X47" s="298"/>
      <c r="Y47" s="298"/>
      <c r="Z47" s="298"/>
      <c r="AA47" s="299"/>
      <c r="AB47" s="297"/>
      <c r="AC47" s="298"/>
      <c r="AD47" s="298"/>
      <c r="AE47" s="298"/>
      <c r="AF47" s="298"/>
      <c r="AG47" s="299"/>
      <c r="AH47" s="297"/>
      <c r="AI47" s="298"/>
      <c r="AJ47" s="298"/>
      <c r="AK47" s="298"/>
      <c r="AL47" s="298"/>
      <c r="AM47" s="299"/>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97"/>
      <c r="K48" s="298"/>
      <c r="L48" s="298"/>
      <c r="M48" s="298"/>
      <c r="N48" s="298"/>
      <c r="O48" s="299"/>
      <c r="P48" s="297"/>
      <c r="Q48" s="298"/>
      <c r="R48" s="298"/>
      <c r="S48" s="298"/>
      <c r="T48" s="298"/>
      <c r="U48" s="299"/>
      <c r="V48" s="297"/>
      <c r="W48" s="298"/>
      <c r="X48" s="298"/>
      <c r="Y48" s="298"/>
      <c r="Z48" s="298"/>
      <c r="AA48" s="299"/>
      <c r="AB48" s="297"/>
      <c r="AC48" s="298"/>
      <c r="AD48" s="298"/>
      <c r="AE48" s="298"/>
      <c r="AF48" s="298"/>
      <c r="AG48" s="299"/>
      <c r="AH48" s="297"/>
      <c r="AI48" s="298"/>
      <c r="AJ48" s="298"/>
      <c r="AK48" s="298"/>
      <c r="AL48" s="298"/>
      <c r="AM48" s="299"/>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97"/>
      <c r="K49" s="298"/>
      <c r="L49" s="298"/>
      <c r="M49" s="298"/>
      <c r="N49" s="298"/>
      <c r="O49" s="299"/>
      <c r="P49" s="297"/>
      <c r="Q49" s="298"/>
      <c r="R49" s="298"/>
      <c r="S49" s="298"/>
      <c r="T49" s="298"/>
      <c r="U49" s="299"/>
      <c r="V49" s="297"/>
      <c r="W49" s="298"/>
      <c r="X49" s="298"/>
      <c r="Y49" s="298"/>
      <c r="Z49" s="298"/>
      <c r="AA49" s="299"/>
      <c r="AB49" s="297"/>
      <c r="AC49" s="298"/>
      <c r="AD49" s="298"/>
      <c r="AE49" s="298"/>
      <c r="AF49" s="298"/>
      <c r="AG49" s="299"/>
      <c r="AH49" s="297"/>
      <c r="AI49" s="298"/>
      <c r="AJ49" s="298"/>
      <c r="AK49" s="298"/>
      <c r="AL49" s="298"/>
      <c r="AM49" s="299"/>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97"/>
      <c r="K50" s="298"/>
      <c r="L50" s="298"/>
      <c r="M50" s="298"/>
      <c r="N50" s="298"/>
      <c r="O50" s="299"/>
      <c r="P50" s="297"/>
      <c r="Q50" s="298"/>
      <c r="R50" s="298"/>
      <c r="S50" s="298"/>
      <c r="T50" s="298"/>
      <c r="U50" s="299"/>
      <c r="V50" s="297"/>
      <c r="W50" s="298"/>
      <c r="X50" s="298"/>
      <c r="Y50" s="298"/>
      <c r="Z50" s="298"/>
      <c r="AA50" s="299"/>
      <c r="AB50" s="297"/>
      <c r="AC50" s="298"/>
      <c r="AD50" s="298"/>
      <c r="AE50" s="298"/>
      <c r="AF50" s="298"/>
      <c r="AG50" s="299"/>
      <c r="AH50" s="297"/>
      <c r="AI50" s="298"/>
      <c r="AJ50" s="298"/>
      <c r="AK50" s="298"/>
      <c r="AL50" s="298"/>
      <c r="AM50" s="299"/>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300"/>
      <c r="K51" s="301"/>
      <c r="L51" s="301"/>
      <c r="M51" s="301"/>
      <c r="N51" s="301"/>
      <c r="O51" s="302"/>
      <c r="P51" s="300"/>
      <c r="Q51" s="301"/>
      <c r="R51" s="301"/>
      <c r="S51" s="301"/>
      <c r="T51" s="301"/>
      <c r="U51" s="302"/>
      <c r="V51" s="300"/>
      <c r="W51" s="301"/>
      <c r="X51" s="301"/>
      <c r="Y51" s="301"/>
      <c r="Z51" s="301"/>
      <c r="AA51" s="302"/>
      <c r="AB51" s="300"/>
      <c r="AC51" s="301"/>
      <c r="AD51" s="301"/>
      <c r="AE51" s="301"/>
      <c r="AF51" s="301"/>
      <c r="AG51" s="302"/>
      <c r="AH51" s="300"/>
      <c r="AI51" s="301"/>
      <c r="AJ51" s="301"/>
      <c r="AK51" s="301"/>
      <c r="AL51" s="301"/>
      <c r="AM51" s="302"/>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73" t="s">
        <v>160</v>
      </c>
      <c r="C2" s="374"/>
      <c r="D2" s="374"/>
      <c r="E2" s="374"/>
      <c r="F2" s="374"/>
      <c r="G2" s="374"/>
      <c r="H2" s="374"/>
      <c r="I2" s="374"/>
      <c r="J2" s="293" t="s">
        <v>2</v>
      </c>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74"/>
      <c r="C3" s="374"/>
      <c r="D3" s="374"/>
      <c r="E3" s="374"/>
      <c r="F3" s="374"/>
      <c r="G3" s="374"/>
      <c r="H3" s="374"/>
      <c r="I3" s="374"/>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74"/>
      <c r="C4" s="374"/>
      <c r="D4" s="374"/>
      <c r="E4" s="374"/>
      <c r="F4" s="374"/>
      <c r="G4" s="374"/>
      <c r="H4" s="374"/>
      <c r="I4" s="374"/>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305" t="s">
        <v>4</v>
      </c>
      <c r="C6" s="305"/>
      <c r="D6" s="306"/>
      <c r="E6" s="343" t="s">
        <v>116</v>
      </c>
      <c r="F6" s="344"/>
      <c r="G6" s="344"/>
      <c r="H6" s="344"/>
      <c r="I6" s="345"/>
      <c r="J6" s="46" t="str">
        <f>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e">
        <f>IF(AND('Mapa final'!#REF!="Muy Alta",'Mapa final'!#REF!="Leve"),CONCATENATE("R1C",'Mapa final'!#REF!),"")</f>
        <v>#REF!</v>
      </c>
      <c r="O6" s="48" t="str">
        <f>IF(AND('Mapa final'!$Y$14="Muy Alta",'Mapa final'!$AA$14="Leve"),CONCATENATE("R1C",'Mapa final'!$O$14),"")</f>
        <v/>
      </c>
      <c r="P6" s="46" t="str">
        <f>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e">
        <f>IF(AND('Mapa final'!#REF!="Muy Alta",'Mapa final'!#REF!="Menor"),CONCATENATE("R1C",'Mapa final'!#REF!),"")</f>
        <v>#REF!</v>
      </c>
      <c r="U6" s="48" t="str">
        <f>IF(AND('Mapa final'!$Y$14="Muy Alta",'Mapa final'!$AA$14="Menor"),CONCATENATE("R1C",'Mapa final'!$O$14),"")</f>
        <v/>
      </c>
      <c r="V6" s="46" t="str">
        <f>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e">
        <f>IF(AND('Mapa final'!#REF!="Muy Alta",'Mapa final'!#REF!="Moderado"),CONCATENATE("R1C",'Mapa final'!#REF!),"")</f>
        <v>#REF!</v>
      </c>
      <c r="AA6" s="48" t="str">
        <f>IF(AND('Mapa final'!$Y$14="Muy Alta",'Mapa final'!$AA$14="Moderado"),CONCATENATE("R1C",'Mapa final'!$O$14),"")</f>
        <v/>
      </c>
      <c r="AB6" s="46" t="str">
        <f>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e">
        <f>IF(AND('Mapa final'!#REF!="Muy Alta",'Mapa final'!#REF!="Mayor"),CONCATENATE("R1C",'Mapa final'!#REF!),"")</f>
        <v>#REF!</v>
      </c>
      <c r="AG6" s="48" t="str">
        <f>IF(AND('Mapa final'!$Y$14="Muy Alta",'Mapa final'!$AA$14="Mayor"),CONCATENATE("R1C",'Mapa final'!$O$14),"")</f>
        <v/>
      </c>
      <c r="AH6" s="49" t="str">
        <f>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e">
        <f>IF(AND('Mapa final'!#REF!="Muy Alta",'Mapa final'!#REF!="Catastrófico"),CONCATENATE("R1C",'Mapa final'!#REF!),"")</f>
        <v>#REF!</v>
      </c>
      <c r="AM6" s="51" t="str">
        <f>IF(AND('Mapa final'!$Y$14="Muy Alta",'Mapa final'!$AA$14="Catastrófico"),CONCATENATE("R1C",'Mapa final'!$O$14),"")</f>
        <v/>
      </c>
      <c r="AN6" s="84"/>
      <c r="AO6" s="364" t="s">
        <v>79</v>
      </c>
      <c r="AP6" s="365"/>
      <c r="AQ6" s="365"/>
      <c r="AR6" s="365"/>
      <c r="AS6" s="365"/>
      <c r="AT6" s="36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305"/>
      <c r="C7" s="305"/>
      <c r="D7" s="306"/>
      <c r="E7" s="346"/>
      <c r="F7" s="347"/>
      <c r="G7" s="347"/>
      <c r="H7" s="347"/>
      <c r="I7" s="348"/>
      <c r="J7" s="52" t="str">
        <f>IF(AND('Mapa final'!$Y$15="Muy Alta",'Mapa final'!$AA$15="Leve"),CONCATENATE("R2C",'Mapa final'!$O$15),"")</f>
        <v/>
      </c>
      <c r="K7" s="53" t="str">
        <f>IF(AND('Mapa final'!$Y$16="Muy Alta",'Mapa final'!$AA$16="Leve"),CONCATENATE("R2C",'Mapa final'!$O$16),"")</f>
        <v/>
      </c>
      <c r="L7" s="53" t="str">
        <f>IF(AND('Mapa final'!$Y$17="Muy Alta",'Mapa final'!$AA$17="Leve"),CONCATENATE("R2C",'Mapa final'!$O$17),"")</f>
        <v/>
      </c>
      <c r="M7" s="53" t="str">
        <f>IF(AND('Mapa final'!$Y$18="Muy Alta",'Mapa final'!$AA$18="Leve"),CONCATENATE("R2C",'Mapa final'!$O$18),"")</f>
        <v/>
      </c>
      <c r="N7" s="53" t="str">
        <f>IF(AND('Mapa final'!$Y$19="Muy Alta",'Mapa final'!$AA$19="Leve"),CONCATENATE("R2C",'Mapa final'!$O$19),"")</f>
        <v/>
      </c>
      <c r="O7" s="54" t="str">
        <f>IF(AND('Mapa final'!$Y$20="Muy Alta",'Mapa final'!$AA$20="Leve"),CONCATENATE("R2C",'Mapa final'!$O$20),"")</f>
        <v/>
      </c>
      <c r="P7" s="52" t="str">
        <f>IF(AND('Mapa final'!$Y$15="Muy Alta",'Mapa final'!$AA$15="Menor"),CONCATENATE("R2C",'Mapa final'!$O$15),"")</f>
        <v/>
      </c>
      <c r="Q7" s="53" t="str">
        <f>IF(AND('Mapa final'!$Y$16="Muy Alta",'Mapa final'!$AA$16="Menor"),CONCATENATE("R2C",'Mapa final'!$O$16),"")</f>
        <v/>
      </c>
      <c r="R7" s="53" t="str">
        <f>IF(AND('Mapa final'!$Y$17="Muy Alta",'Mapa final'!$AA$17="Menor"),CONCATENATE("R2C",'Mapa final'!$O$17),"")</f>
        <v/>
      </c>
      <c r="S7" s="53" t="str">
        <f>IF(AND('Mapa final'!$Y$18="Muy Alta",'Mapa final'!$AA$18="Menor"),CONCATENATE("R2C",'Mapa final'!$O$18),"")</f>
        <v/>
      </c>
      <c r="T7" s="53" t="str">
        <f>IF(AND('Mapa final'!$Y$19="Muy Alta",'Mapa final'!$AA$19="Menor"),CONCATENATE("R2C",'Mapa final'!$O$19),"")</f>
        <v/>
      </c>
      <c r="U7" s="54" t="str">
        <f>IF(AND('Mapa final'!$Y$20="Muy Alta",'Mapa final'!$AA$20="Menor"),CONCATENATE("R2C",'Mapa final'!$O$20),"")</f>
        <v/>
      </c>
      <c r="V7" s="52" t="str">
        <f>IF(AND('Mapa final'!$Y$15="Muy Alta",'Mapa final'!$AA$15="Moderado"),CONCATENATE("R2C",'Mapa final'!$O$15),"")</f>
        <v/>
      </c>
      <c r="W7" s="53" t="str">
        <f>IF(AND('Mapa final'!$Y$16="Muy Alta",'Mapa final'!$AA$16="Moderado"),CONCATENATE("R2C",'Mapa final'!$O$16),"")</f>
        <v/>
      </c>
      <c r="X7" s="53" t="str">
        <f>IF(AND('Mapa final'!$Y$17="Muy Alta",'Mapa final'!$AA$17="Moderado"),CONCATENATE("R2C",'Mapa final'!$O$17),"")</f>
        <v/>
      </c>
      <c r="Y7" s="53" t="str">
        <f>IF(AND('Mapa final'!$Y$18="Muy Alta",'Mapa final'!$AA$18="Moderado"),CONCATENATE("R2C",'Mapa final'!$O$18),"")</f>
        <v/>
      </c>
      <c r="Z7" s="53" t="str">
        <f>IF(AND('Mapa final'!$Y$19="Muy Alta",'Mapa final'!$AA$19="Moderado"),CONCATENATE("R2C",'Mapa final'!$O$19),"")</f>
        <v/>
      </c>
      <c r="AA7" s="54" t="str">
        <f>IF(AND('Mapa final'!$Y$20="Muy Alta",'Mapa final'!$AA$20="Moderado"),CONCATENATE("R2C",'Mapa final'!$O$20),"")</f>
        <v/>
      </c>
      <c r="AB7" s="52" t="str">
        <f>IF(AND('Mapa final'!$Y$15="Muy Alta",'Mapa final'!$AA$15="Mayor"),CONCATENATE("R2C",'Mapa final'!$O$15),"")</f>
        <v/>
      </c>
      <c r="AC7" s="53" t="str">
        <f>IF(AND('Mapa final'!$Y$16="Muy Alta",'Mapa final'!$AA$16="Mayor"),CONCATENATE("R2C",'Mapa final'!$O$16),"")</f>
        <v/>
      </c>
      <c r="AD7" s="53" t="str">
        <f>IF(AND('Mapa final'!$Y$17="Muy Alta",'Mapa final'!$AA$17="Mayor"),CONCATENATE("R2C",'Mapa final'!$O$17),"")</f>
        <v/>
      </c>
      <c r="AE7" s="53" t="str">
        <f>IF(AND('Mapa final'!$Y$18="Muy Alta",'Mapa final'!$AA$18="Mayor"),CONCATENATE("R2C",'Mapa final'!$O$18),"")</f>
        <v/>
      </c>
      <c r="AF7" s="53" t="str">
        <f>IF(AND('Mapa final'!$Y$19="Muy Alta",'Mapa final'!$AA$19="Mayor"),CONCATENATE("R2C",'Mapa final'!$O$19),"")</f>
        <v/>
      </c>
      <c r="AG7" s="54" t="str">
        <f>IF(AND('Mapa final'!$Y$20="Muy Alta",'Mapa final'!$AA$20="Mayor"),CONCATENATE("R2C",'Mapa final'!$O$20),"")</f>
        <v/>
      </c>
      <c r="AH7" s="55" t="str">
        <f>IF(AND('Mapa final'!$Y$15="Muy Alta",'Mapa final'!$AA$15="Catastrófico"),CONCATENATE("R2C",'Mapa final'!$O$15),"")</f>
        <v/>
      </c>
      <c r="AI7" s="56" t="str">
        <f>IF(AND('Mapa final'!$Y$16="Muy Alta",'Mapa final'!$AA$16="Catastrófico"),CONCATENATE("R2C",'Mapa final'!$O$16),"")</f>
        <v/>
      </c>
      <c r="AJ7" s="56" t="str">
        <f>IF(AND('Mapa final'!$Y$17="Muy Alta",'Mapa final'!$AA$17="Catastrófico"),CONCATENATE("R2C",'Mapa final'!$O$17),"")</f>
        <v/>
      </c>
      <c r="AK7" s="56" t="str">
        <f>IF(AND('Mapa final'!$Y$18="Muy Alta",'Mapa final'!$AA$18="Catastrófico"),CONCATENATE("R2C",'Mapa final'!$O$18),"")</f>
        <v/>
      </c>
      <c r="AL7" s="56" t="str">
        <f>IF(AND('Mapa final'!$Y$19="Muy Alta",'Mapa final'!$AA$19="Catastrófico"),CONCATENATE("R2C",'Mapa final'!$O$19),"")</f>
        <v/>
      </c>
      <c r="AM7" s="57" t="str">
        <f>IF(AND('Mapa final'!$Y$20="Muy Alta",'Mapa final'!$AA$20="Catastrófico"),CONCATENATE("R2C",'Mapa final'!$O$20),"")</f>
        <v/>
      </c>
      <c r="AN7" s="84"/>
      <c r="AO7" s="367"/>
      <c r="AP7" s="368"/>
      <c r="AQ7" s="368"/>
      <c r="AR7" s="368"/>
      <c r="AS7" s="368"/>
      <c r="AT7" s="36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305"/>
      <c r="C8" s="305"/>
      <c r="D8" s="306"/>
      <c r="E8" s="346"/>
      <c r="F8" s="347"/>
      <c r="G8" s="347"/>
      <c r="H8" s="347"/>
      <c r="I8" s="348"/>
      <c r="J8" s="52" t="str">
        <f>IF(AND('Mapa final'!$Y$21="Muy Alta",'Mapa final'!$AA$21="Leve"),CONCATENATE("R3C",'Mapa final'!$O$21),"")</f>
        <v/>
      </c>
      <c r="K8" s="53" t="str">
        <f>IF(AND('Mapa final'!$Y$22="Muy Alta",'Mapa final'!$AA$22="Leve"),CONCATENATE("R3C",'Mapa final'!$O$22),"")</f>
        <v/>
      </c>
      <c r="L8" s="53" t="e">
        <f>IF(AND('Mapa final'!#REF!="Muy Alta",'Mapa final'!#REF!="Leve"),CONCATENATE("R3C",'Mapa final'!#REF!),"")</f>
        <v>#REF!</v>
      </c>
      <c r="M8" s="53" t="e">
        <f>IF(AND('Mapa final'!#REF!="Muy Alta",'Mapa final'!#REF!="Leve"),CONCATENATE("R3C",'Mapa final'!#REF!),"")</f>
        <v>#REF!</v>
      </c>
      <c r="N8" s="53" t="e">
        <f>IF(AND('Mapa final'!#REF!="Muy Alta",'Mapa final'!#REF!="Leve"),CONCATENATE("R3C",'Mapa final'!#REF!),"")</f>
        <v>#REF!</v>
      </c>
      <c r="O8" s="54" t="e">
        <f>IF(AND('Mapa final'!#REF!="Muy Alta",'Mapa final'!#REF!="Leve"),CONCATENATE("R3C",'Mapa final'!#REF!),"")</f>
        <v>#REF!</v>
      </c>
      <c r="P8" s="52" t="str">
        <f>IF(AND('Mapa final'!$Y$21="Muy Alta",'Mapa final'!$AA$21="Menor"),CONCATENATE("R3C",'Mapa final'!$O$21),"")</f>
        <v/>
      </c>
      <c r="Q8" s="53" t="str">
        <f>IF(AND('Mapa final'!$Y$22="Muy Alta",'Mapa final'!$AA$22="Menor"),CONCATENATE("R3C",'Mapa final'!$O$22),"")</f>
        <v/>
      </c>
      <c r="R8" s="53" t="e">
        <f>IF(AND('Mapa final'!#REF!="Muy Alta",'Mapa final'!#REF!="Menor"),CONCATENATE("R3C",'Mapa final'!#REF!),"")</f>
        <v>#REF!</v>
      </c>
      <c r="S8" s="53" t="e">
        <f>IF(AND('Mapa final'!#REF!="Muy Alta",'Mapa final'!#REF!="Menor"),CONCATENATE("R3C",'Mapa final'!#REF!),"")</f>
        <v>#REF!</v>
      </c>
      <c r="T8" s="53" t="e">
        <f>IF(AND('Mapa final'!#REF!="Muy Alta",'Mapa final'!#REF!="Menor"),CONCATENATE("R3C",'Mapa final'!#REF!),"")</f>
        <v>#REF!</v>
      </c>
      <c r="U8" s="54" t="e">
        <f>IF(AND('Mapa final'!#REF!="Muy Alta",'Mapa final'!#REF!="Menor"),CONCATENATE("R3C",'Mapa final'!#REF!),"")</f>
        <v>#REF!</v>
      </c>
      <c r="V8" s="52" t="str">
        <f>IF(AND('Mapa final'!$Y$21="Muy Alta",'Mapa final'!$AA$21="Moderado"),CONCATENATE("R3C",'Mapa final'!$O$21),"")</f>
        <v/>
      </c>
      <c r="W8" s="53" t="str">
        <f>IF(AND('Mapa final'!$Y$22="Muy Alta",'Mapa final'!$AA$22="Moderado"),CONCATENATE("R3C",'Mapa final'!$O$22),"")</f>
        <v/>
      </c>
      <c r="X8" s="53" t="e">
        <f>IF(AND('Mapa final'!#REF!="Muy Alta",'Mapa final'!#REF!="Moderado"),CONCATENATE("R3C",'Mapa final'!#REF!),"")</f>
        <v>#REF!</v>
      </c>
      <c r="Y8" s="53" t="e">
        <f>IF(AND('Mapa final'!#REF!="Muy Alta",'Mapa final'!#REF!="Moderado"),CONCATENATE("R3C",'Mapa final'!#REF!),"")</f>
        <v>#REF!</v>
      </c>
      <c r="Z8" s="53" t="e">
        <f>IF(AND('Mapa final'!#REF!="Muy Alta",'Mapa final'!#REF!="Moderado"),CONCATENATE("R3C",'Mapa final'!#REF!),"")</f>
        <v>#REF!</v>
      </c>
      <c r="AA8" s="54" t="e">
        <f>IF(AND('Mapa final'!#REF!="Muy Alta",'Mapa final'!#REF!="Moderado"),CONCATENATE("R3C",'Mapa final'!#REF!),"")</f>
        <v>#REF!</v>
      </c>
      <c r="AB8" s="52" t="str">
        <f>IF(AND('Mapa final'!$Y$21="Muy Alta",'Mapa final'!$AA$21="Mayor"),CONCATENATE("R3C",'Mapa final'!$O$21),"")</f>
        <v/>
      </c>
      <c r="AC8" s="53" t="str">
        <f>IF(AND('Mapa final'!$Y$22="Muy Alta",'Mapa final'!$AA$22="Mayor"),CONCATENATE("R3C",'Mapa final'!$O$22),"")</f>
        <v/>
      </c>
      <c r="AD8" s="53" t="e">
        <f>IF(AND('Mapa final'!#REF!="Muy Alta",'Mapa final'!#REF!="Mayor"),CONCATENATE("R3C",'Mapa final'!#REF!),"")</f>
        <v>#REF!</v>
      </c>
      <c r="AE8" s="53" t="e">
        <f>IF(AND('Mapa final'!#REF!="Muy Alta",'Mapa final'!#REF!="Mayor"),CONCATENATE("R3C",'Mapa final'!#REF!),"")</f>
        <v>#REF!</v>
      </c>
      <c r="AF8" s="53" t="e">
        <f>IF(AND('Mapa final'!#REF!="Muy Alta",'Mapa final'!#REF!="Mayor"),CONCATENATE("R3C",'Mapa final'!#REF!),"")</f>
        <v>#REF!</v>
      </c>
      <c r="AG8" s="54" t="e">
        <f>IF(AND('Mapa final'!#REF!="Muy Alta",'Mapa final'!#REF!="Mayor"),CONCATENATE("R3C",'Mapa final'!#REF!),"")</f>
        <v>#REF!</v>
      </c>
      <c r="AH8" s="55" t="str">
        <f>IF(AND('Mapa final'!$Y$21="Muy Alta",'Mapa final'!$AA$21="Catastrófico"),CONCATENATE("R3C",'Mapa final'!$O$21),"")</f>
        <v/>
      </c>
      <c r="AI8" s="56" t="str">
        <f>IF(AND('Mapa final'!$Y$22="Muy Alta",'Mapa final'!$AA$22="Catastrófico"),CONCATENATE("R3C",'Mapa final'!$O$22),"")</f>
        <v/>
      </c>
      <c r="AJ8" s="56" t="e">
        <f>IF(AND('Mapa final'!#REF!="Muy Alta",'Mapa final'!#REF!="Catastrófico"),CONCATENATE("R3C",'Mapa final'!#REF!),"")</f>
        <v>#REF!</v>
      </c>
      <c r="AK8" s="56" t="e">
        <f>IF(AND('Mapa final'!#REF!="Muy Alta",'Mapa final'!#REF!="Catastrófico"),CONCATENATE("R3C",'Mapa final'!#REF!),"")</f>
        <v>#REF!</v>
      </c>
      <c r="AL8" s="56" t="e">
        <f>IF(AND('Mapa final'!#REF!="Muy Alta",'Mapa final'!#REF!="Catastrófico"),CONCATENATE("R3C",'Mapa final'!#REF!),"")</f>
        <v>#REF!</v>
      </c>
      <c r="AM8" s="57" t="e">
        <f>IF(AND('Mapa final'!#REF!="Muy Alta",'Mapa final'!#REF!="Catastrófico"),CONCATENATE("R3C",'Mapa final'!#REF!),"")</f>
        <v>#REF!</v>
      </c>
      <c r="AN8" s="84"/>
      <c r="AO8" s="367"/>
      <c r="AP8" s="368"/>
      <c r="AQ8" s="368"/>
      <c r="AR8" s="368"/>
      <c r="AS8" s="368"/>
      <c r="AT8" s="36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305"/>
      <c r="C9" s="305"/>
      <c r="D9" s="306"/>
      <c r="E9" s="346"/>
      <c r="F9" s="347"/>
      <c r="G9" s="347"/>
      <c r="H9" s="347"/>
      <c r="I9" s="348"/>
      <c r="J9" s="52" t="str">
        <f>IF(AND('Mapa final'!$Y$23="Muy Alta",'Mapa final'!$AA$23="Leve"),CONCATENATE("R4C",'Mapa final'!$O$23),"")</f>
        <v/>
      </c>
      <c r="K9" s="53" t="str">
        <f>IF(AND('Mapa final'!$Y$24="Muy Alta",'Mapa final'!$AA$24="Leve"),CONCATENATE("R4C",'Mapa final'!$O$24),"")</f>
        <v/>
      </c>
      <c r="L9" s="58" t="str">
        <f>IF(AND('Mapa final'!$Y$25="Muy Alta",'Mapa final'!$AA$25="Leve"),CONCATENATE("R4C",'Mapa final'!$O$25),"")</f>
        <v/>
      </c>
      <c r="M9" s="58" t="str">
        <f>IF(AND('Mapa final'!$Y$26="Muy Alta",'Mapa final'!$AA$26="Leve"),CONCATENATE("R4C",'Mapa final'!$O$26),"")</f>
        <v/>
      </c>
      <c r="N9" s="58" t="str">
        <f>IF(AND('Mapa final'!$Y$27="Muy Alta",'Mapa final'!$AA$27="Leve"),CONCATENATE("R4C",'Mapa final'!$O$27),"")</f>
        <v/>
      </c>
      <c r="O9" s="54" t="str">
        <f>IF(AND('Mapa final'!$Y$28="Muy Alta",'Mapa final'!$AA$28="Leve"),CONCATENATE("R4C",'Mapa final'!$O$28),"")</f>
        <v/>
      </c>
      <c r="P9" s="52" t="str">
        <f>IF(AND('Mapa final'!$Y$23="Muy Alta",'Mapa final'!$AA$23="Menor"),CONCATENATE("R4C",'Mapa final'!$O$23),"")</f>
        <v/>
      </c>
      <c r="Q9" s="53" t="str">
        <f>IF(AND('Mapa final'!$Y$24="Muy Alta",'Mapa final'!$AA$24="Menor"),CONCATENATE("R4C",'Mapa final'!$O$24),"")</f>
        <v/>
      </c>
      <c r="R9" s="58" t="str">
        <f>IF(AND('Mapa final'!$Y$25="Muy Alta",'Mapa final'!$AA$25="Menor"),CONCATENATE("R4C",'Mapa final'!$O$25),"")</f>
        <v/>
      </c>
      <c r="S9" s="58" t="str">
        <f>IF(AND('Mapa final'!$Y$26="Muy Alta",'Mapa final'!$AA$26="Menor"),CONCATENATE("R4C",'Mapa final'!$O$26),"")</f>
        <v/>
      </c>
      <c r="T9" s="58" t="str">
        <f>IF(AND('Mapa final'!$Y$27="Muy Alta",'Mapa final'!$AA$27="Menor"),CONCATENATE("R4C",'Mapa final'!$O$27),"")</f>
        <v/>
      </c>
      <c r="U9" s="54" t="str">
        <f>IF(AND('Mapa final'!$Y$28="Muy Alta",'Mapa final'!$AA$28="Menor"),CONCATENATE("R4C",'Mapa final'!$O$28),"")</f>
        <v/>
      </c>
      <c r="V9" s="52" t="str">
        <f>IF(AND('Mapa final'!$Y$23="Muy Alta",'Mapa final'!$AA$23="Moderado"),CONCATENATE("R4C",'Mapa final'!$O$23),"")</f>
        <v>R4C1</v>
      </c>
      <c r="W9" s="53" t="str">
        <f>IF(AND('Mapa final'!$Y$24="Muy Alta",'Mapa final'!$AA$24="Moderado"),CONCATENATE("R4C",'Mapa final'!$O$24),"")</f>
        <v/>
      </c>
      <c r="X9" s="58" t="str">
        <f>IF(AND('Mapa final'!$Y$25="Muy Alta",'Mapa final'!$AA$25="Moderado"),CONCATENATE("R4C",'Mapa final'!$O$25),"")</f>
        <v/>
      </c>
      <c r="Y9" s="58" t="str">
        <f>IF(AND('Mapa final'!$Y$26="Muy Alta",'Mapa final'!$AA$26="Moderado"),CONCATENATE("R4C",'Mapa final'!$O$26),"")</f>
        <v/>
      </c>
      <c r="Z9" s="58" t="str">
        <f>IF(AND('Mapa final'!$Y$27="Muy Alta",'Mapa final'!$AA$27="Moderado"),CONCATENATE("R4C",'Mapa final'!$O$27),"")</f>
        <v/>
      </c>
      <c r="AA9" s="54" t="str">
        <f>IF(AND('Mapa final'!$Y$28="Muy Alta",'Mapa final'!$AA$28="Moderado"),CONCATENATE("R4C",'Mapa final'!$O$28),"")</f>
        <v/>
      </c>
      <c r="AB9" s="52" t="str">
        <f>IF(AND('Mapa final'!$Y$23="Muy Alta",'Mapa final'!$AA$23="Mayor"),CONCATENATE("R4C",'Mapa final'!$O$23),"")</f>
        <v/>
      </c>
      <c r="AC9" s="53" t="str">
        <f>IF(AND('Mapa final'!$Y$24="Muy Alta",'Mapa final'!$AA$24="Mayor"),CONCATENATE("R4C",'Mapa final'!$O$24),"")</f>
        <v/>
      </c>
      <c r="AD9" s="58" t="str">
        <f>IF(AND('Mapa final'!$Y$25="Muy Alta",'Mapa final'!$AA$25="Mayor"),CONCATENATE("R4C",'Mapa final'!$O$25),"")</f>
        <v/>
      </c>
      <c r="AE9" s="58" t="str">
        <f>IF(AND('Mapa final'!$Y$26="Muy Alta",'Mapa final'!$AA$26="Mayor"),CONCATENATE("R4C",'Mapa final'!$O$26),"")</f>
        <v/>
      </c>
      <c r="AF9" s="58" t="str">
        <f>IF(AND('Mapa final'!$Y$27="Muy Alta",'Mapa final'!$AA$27="Mayor"),CONCATENATE("R4C",'Mapa final'!$O$27),"")</f>
        <v/>
      </c>
      <c r="AG9" s="54" t="str">
        <f>IF(AND('Mapa final'!$Y$28="Muy Alta",'Mapa final'!$AA$28="Mayor"),CONCATENATE("R4C",'Mapa final'!$O$28),"")</f>
        <v/>
      </c>
      <c r="AH9" s="55" t="str">
        <f>IF(AND('Mapa final'!$Y$23="Muy Alta",'Mapa final'!$AA$23="Catastrófico"),CONCATENATE("R4C",'Mapa final'!$O$23),"")</f>
        <v/>
      </c>
      <c r="AI9" s="56" t="str">
        <f>IF(AND('Mapa final'!$Y$24="Muy Alta",'Mapa final'!$AA$24="Catastrófico"),CONCATENATE("R4C",'Mapa final'!$O$24),"")</f>
        <v/>
      </c>
      <c r="AJ9" s="56" t="str">
        <f>IF(AND('Mapa final'!$Y$25="Muy Alta",'Mapa final'!$AA$25="Catastrófico"),CONCATENATE("R4C",'Mapa final'!$O$25),"")</f>
        <v/>
      </c>
      <c r="AK9" s="56" t="str">
        <f>IF(AND('Mapa final'!$Y$26="Muy Alta",'Mapa final'!$AA$26="Catastrófico"),CONCATENATE("R4C",'Mapa final'!$O$26),"")</f>
        <v/>
      </c>
      <c r="AL9" s="56" t="str">
        <f>IF(AND('Mapa final'!$Y$27="Muy Alta",'Mapa final'!$AA$27="Catastrófico"),CONCATENATE("R4C",'Mapa final'!$O$27),"")</f>
        <v/>
      </c>
      <c r="AM9" s="57" t="str">
        <f>IF(AND('Mapa final'!$Y$28="Muy Alta",'Mapa final'!$AA$28="Catastrófico"),CONCATENATE("R4C",'Mapa final'!$O$28),"")</f>
        <v/>
      </c>
      <c r="AN9" s="84"/>
      <c r="AO9" s="367"/>
      <c r="AP9" s="368"/>
      <c r="AQ9" s="368"/>
      <c r="AR9" s="368"/>
      <c r="AS9" s="368"/>
      <c r="AT9" s="36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305"/>
      <c r="C10" s="305"/>
      <c r="D10" s="306"/>
      <c r="E10" s="346"/>
      <c r="F10" s="347"/>
      <c r="G10" s="347"/>
      <c r="H10" s="347"/>
      <c r="I10" s="348"/>
      <c r="J10" s="52" t="str">
        <f>IF(AND('Mapa final'!$Y$29="Muy Alta",'Mapa final'!$AA$29="Leve"),CONCATENATE("R5C",'Mapa final'!$O$29),"")</f>
        <v/>
      </c>
      <c r="K10" s="53" t="str">
        <f>IF(AND('Mapa final'!$Y$30="Muy Alta",'Mapa final'!$AA$30="Leve"),CONCATENATE("R5C",'Mapa final'!$O$30),"")</f>
        <v/>
      </c>
      <c r="L10" s="58" t="str">
        <f>IF(AND('Mapa final'!$Y$31="Muy Alta",'Mapa final'!$AA$31="Leve"),CONCATENATE("R5C",'Mapa final'!$O$31),"")</f>
        <v/>
      </c>
      <c r="M10" s="58" t="str">
        <f>IF(AND('Mapa final'!$Y$32="Muy Alta",'Mapa final'!$AA$32="Leve"),CONCATENATE("R5C",'Mapa final'!$O$32),"")</f>
        <v/>
      </c>
      <c r="N10" s="58" t="str">
        <f>IF(AND('Mapa final'!$Y$33="Muy Alta",'Mapa final'!$AA$33="Leve"),CONCATENATE("R5C",'Mapa final'!$O$33),"")</f>
        <v/>
      </c>
      <c r="O10" s="54" t="str">
        <f>IF(AND('Mapa final'!$Y$34="Muy Alta",'Mapa final'!$AA$34="Leve"),CONCATENATE("R5C",'Mapa final'!$O$34),"")</f>
        <v/>
      </c>
      <c r="P10" s="52" t="str">
        <f>IF(AND('Mapa final'!$Y$29="Muy Alta",'Mapa final'!$AA$29="Menor"),CONCATENATE("R5C",'Mapa final'!$O$29),"")</f>
        <v/>
      </c>
      <c r="Q10" s="53" t="str">
        <f>IF(AND('Mapa final'!$Y$30="Muy Alta",'Mapa final'!$AA$30="Menor"),CONCATENATE("R5C",'Mapa final'!$O$30),"")</f>
        <v/>
      </c>
      <c r="R10" s="58" t="str">
        <f>IF(AND('Mapa final'!$Y$31="Muy Alta",'Mapa final'!$AA$31="Menor"),CONCATENATE("R5C",'Mapa final'!$O$31),"")</f>
        <v/>
      </c>
      <c r="S10" s="58" t="str">
        <f>IF(AND('Mapa final'!$Y$32="Muy Alta",'Mapa final'!$AA$32="Menor"),CONCATENATE("R5C",'Mapa final'!$O$32),"")</f>
        <v/>
      </c>
      <c r="T10" s="58" t="str">
        <f>IF(AND('Mapa final'!$Y$33="Muy Alta",'Mapa final'!$AA$33="Menor"),CONCATENATE("R5C",'Mapa final'!$O$33),"")</f>
        <v/>
      </c>
      <c r="U10" s="54" t="str">
        <f>IF(AND('Mapa final'!$Y$34="Muy Alta",'Mapa final'!$AA$34="Menor"),CONCATENATE("R5C",'Mapa final'!$O$34),"")</f>
        <v/>
      </c>
      <c r="V10" s="52" t="str">
        <f>IF(AND('Mapa final'!$Y$29="Muy Alta",'Mapa final'!$AA$29="Moderado"),CONCATENATE("R5C",'Mapa final'!$O$29),"")</f>
        <v/>
      </c>
      <c r="W10" s="53" t="str">
        <f>IF(AND('Mapa final'!$Y$30="Muy Alta",'Mapa final'!$AA$30="Moderado"),CONCATENATE("R5C",'Mapa final'!$O$30),"")</f>
        <v/>
      </c>
      <c r="X10" s="58" t="str">
        <f>IF(AND('Mapa final'!$Y$31="Muy Alta",'Mapa final'!$AA$31="Moderado"),CONCATENATE("R5C",'Mapa final'!$O$31),"")</f>
        <v/>
      </c>
      <c r="Y10" s="58" t="str">
        <f>IF(AND('Mapa final'!$Y$32="Muy Alta",'Mapa final'!$AA$32="Moderado"),CONCATENATE("R5C",'Mapa final'!$O$32),"")</f>
        <v/>
      </c>
      <c r="Z10" s="58" t="str">
        <f>IF(AND('Mapa final'!$Y$33="Muy Alta",'Mapa final'!$AA$33="Moderado"),CONCATENATE("R5C",'Mapa final'!$O$33),"")</f>
        <v/>
      </c>
      <c r="AA10" s="54" t="str">
        <f>IF(AND('Mapa final'!$Y$34="Muy Alta",'Mapa final'!$AA$34="Moderado"),CONCATENATE("R5C",'Mapa final'!$O$34),"")</f>
        <v/>
      </c>
      <c r="AB10" s="52" t="str">
        <f>IF(AND('Mapa final'!$Y$29="Muy Alta",'Mapa final'!$AA$29="Mayor"),CONCATENATE("R5C",'Mapa final'!$O$29),"")</f>
        <v/>
      </c>
      <c r="AC10" s="53" t="str">
        <f>IF(AND('Mapa final'!$Y$30="Muy Alta",'Mapa final'!$AA$30="Mayor"),CONCATENATE("R5C",'Mapa final'!$O$30),"")</f>
        <v/>
      </c>
      <c r="AD10" s="58" t="str">
        <f>IF(AND('Mapa final'!$Y$31="Muy Alta",'Mapa final'!$AA$31="Mayor"),CONCATENATE("R5C",'Mapa final'!$O$31),"")</f>
        <v/>
      </c>
      <c r="AE10" s="58" t="str">
        <f>IF(AND('Mapa final'!$Y$32="Muy Alta",'Mapa final'!$AA$32="Mayor"),CONCATENATE("R5C",'Mapa final'!$O$32),"")</f>
        <v/>
      </c>
      <c r="AF10" s="58" t="str">
        <f>IF(AND('Mapa final'!$Y$33="Muy Alta",'Mapa final'!$AA$33="Mayor"),CONCATENATE("R5C",'Mapa final'!$O$33),"")</f>
        <v/>
      </c>
      <c r="AG10" s="54" t="str">
        <f>IF(AND('Mapa final'!$Y$34="Muy Alta",'Mapa final'!$AA$34="Mayor"),CONCATENATE("R5C",'Mapa final'!$O$34),"")</f>
        <v/>
      </c>
      <c r="AH10" s="55" t="str">
        <f>IF(AND('Mapa final'!$Y$29="Muy Alta",'Mapa final'!$AA$29="Catastrófico"),CONCATENATE("R5C",'Mapa final'!$O$29),"")</f>
        <v/>
      </c>
      <c r="AI10" s="56" t="str">
        <f>IF(AND('Mapa final'!$Y$30="Muy Alta",'Mapa final'!$AA$30="Catastrófico"),CONCATENATE("R5C",'Mapa final'!$O$30),"")</f>
        <v/>
      </c>
      <c r="AJ10" s="56" t="str">
        <f>IF(AND('Mapa final'!$Y$31="Muy Alta",'Mapa final'!$AA$31="Catastrófico"),CONCATENATE("R5C",'Mapa final'!$O$31),"")</f>
        <v/>
      </c>
      <c r="AK10" s="56" t="str">
        <f>IF(AND('Mapa final'!$Y$32="Muy Alta",'Mapa final'!$AA$32="Catastrófico"),CONCATENATE("R5C",'Mapa final'!$O$32),"")</f>
        <v/>
      </c>
      <c r="AL10" s="56" t="str">
        <f>IF(AND('Mapa final'!$Y$33="Muy Alta",'Mapa final'!$AA$33="Catastrófico"),CONCATENATE("R5C",'Mapa final'!$O$33),"")</f>
        <v/>
      </c>
      <c r="AM10" s="57" t="str">
        <f>IF(AND('Mapa final'!$Y$34="Muy Alta",'Mapa final'!$AA$34="Catastrófico"),CONCATENATE("R5C",'Mapa final'!$O$34),"")</f>
        <v/>
      </c>
      <c r="AN10" s="84"/>
      <c r="AO10" s="367"/>
      <c r="AP10" s="368"/>
      <c r="AQ10" s="368"/>
      <c r="AR10" s="368"/>
      <c r="AS10" s="368"/>
      <c r="AT10" s="36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305"/>
      <c r="C11" s="305"/>
      <c r="D11" s="306"/>
      <c r="E11" s="346"/>
      <c r="F11" s="347"/>
      <c r="G11" s="347"/>
      <c r="H11" s="347"/>
      <c r="I11" s="348"/>
      <c r="J11" s="52" t="str">
        <f>IF(AND('Mapa final'!$Y$35="Muy Alta",'Mapa final'!$AA$35="Leve"),CONCATENATE("R6C",'Mapa final'!$O$35),"")</f>
        <v/>
      </c>
      <c r="K11" s="53" t="str">
        <f>IF(AND('Mapa final'!$Y$36="Muy Alta",'Mapa final'!$AA$36="Leve"),CONCATENATE("R6C",'Mapa final'!$O$36),"")</f>
        <v/>
      </c>
      <c r="L11" s="58" t="str">
        <f>IF(AND('Mapa final'!$Y$37="Muy Alta",'Mapa final'!$AA$37="Leve"),CONCATENATE("R6C",'Mapa final'!$O$37),"")</f>
        <v/>
      </c>
      <c r="M11" s="58" t="str">
        <f>IF(AND('Mapa final'!$Y$38="Muy Alta",'Mapa final'!$AA$38="Leve"),CONCATENATE("R6C",'Mapa final'!$O$38),"")</f>
        <v/>
      </c>
      <c r="N11" s="58" t="str">
        <f>IF(AND('Mapa final'!$Y$39="Muy Alta",'Mapa final'!$AA$39="Leve"),CONCATENATE("R6C",'Mapa final'!$O$39),"")</f>
        <v/>
      </c>
      <c r="O11" s="54" t="str">
        <f>IF(AND('Mapa final'!$Y$40="Muy Alta",'Mapa final'!$AA$40="Leve"),CONCATENATE("R6C",'Mapa final'!$O$40),"")</f>
        <v/>
      </c>
      <c r="P11" s="52" t="str">
        <f>IF(AND('Mapa final'!$Y$35="Muy Alta",'Mapa final'!$AA$35="Menor"),CONCATENATE("R6C",'Mapa final'!$O$35),"")</f>
        <v/>
      </c>
      <c r="Q11" s="53" t="str">
        <f>IF(AND('Mapa final'!$Y$36="Muy Alta",'Mapa final'!$AA$36="Menor"),CONCATENATE("R6C",'Mapa final'!$O$36),"")</f>
        <v/>
      </c>
      <c r="R11" s="58" t="str">
        <f>IF(AND('Mapa final'!$Y$37="Muy Alta",'Mapa final'!$AA$37="Menor"),CONCATENATE("R6C",'Mapa final'!$O$37),"")</f>
        <v/>
      </c>
      <c r="S11" s="58" t="str">
        <f>IF(AND('Mapa final'!$Y$38="Muy Alta",'Mapa final'!$AA$38="Menor"),CONCATENATE("R6C",'Mapa final'!$O$38),"")</f>
        <v/>
      </c>
      <c r="T11" s="58" t="str">
        <f>IF(AND('Mapa final'!$Y$39="Muy Alta",'Mapa final'!$AA$39="Menor"),CONCATENATE("R6C",'Mapa final'!$O$39),"")</f>
        <v/>
      </c>
      <c r="U11" s="54" t="str">
        <f>IF(AND('Mapa final'!$Y$40="Muy Alta",'Mapa final'!$AA$40="Menor"),CONCATENATE("R6C",'Mapa final'!$O$40),"")</f>
        <v/>
      </c>
      <c r="V11" s="52" t="str">
        <f>IF(AND('Mapa final'!$Y$35="Muy Alta",'Mapa final'!$AA$35="Moderado"),CONCATENATE("R6C",'Mapa final'!$O$35),"")</f>
        <v/>
      </c>
      <c r="W11" s="53" t="str">
        <f>IF(AND('Mapa final'!$Y$36="Muy Alta",'Mapa final'!$AA$36="Moderado"),CONCATENATE("R6C",'Mapa final'!$O$36),"")</f>
        <v/>
      </c>
      <c r="X11" s="58" t="str">
        <f>IF(AND('Mapa final'!$Y$37="Muy Alta",'Mapa final'!$AA$37="Moderado"),CONCATENATE("R6C",'Mapa final'!$O$37),"")</f>
        <v/>
      </c>
      <c r="Y11" s="58" t="str">
        <f>IF(AND('Mapa final'!$Y$38="Muy Alta",'Mapa final'!$AA$38="Moderado"),CONCATENATE("R6C",'Mapa final'!$O$38),"")</f>
        <v/>
      </c>
      <c r="Z11" s="58" t="str">
        <f>IF(AND('Mapa final'!$Y$39="Muy Alta",'Mapa final'!$AA$39="Moderado"),CONCATENATE("R6C",'Mapa final'!$O$39),"")</f>
        <v/>
      </c>
      <c r="AA11" s="54" t="str">
        <f>IF(AND('Mapa final'!$Y$40="Muy Alta",'Mapa final'!$AA$40="Moderado"),CONCATENATE("R6C",'Mapa final'!$O$40),"")</f>
        <v/>
      </c>
      <c r="AB11" s="52" t="str">
        <f>IF(AND('Mapa final'!$Y$35="Muy Alta",'Mapa final'!$AA$35="Mayor"),CONCATENATE("R6C",'Mapa final'!$O$35),"")</f>
        <v/>
      </c>
      <c r="AC11" s="53" t="str">
        <f>IF(AND('Mapa final'!$Y$36="Muy Alta",'Mapa final'!$AA$36="Mayor"),CONCATENATE("R6C",'Mapa final'!$O$36),"")</f>
        <v/>
      </c>
      <c r="AD11" s="58" t="str">
        <f>IF(AND('Mapa final'!$Y$37="Muy Alta",'Mapa final'!$AA$37="Mayor"),CONCATENATE("R6C",'Mapa final'!$O$37),"")</f>
        <v/>
      </c>
      <c r="AE11" s="58" t="str">
        <f>IF(AND('Mapa final'!$Y$38="Muy Alta",'Mapa final'!$AA$38="Mayor"),CONCATENATE("R6C",'Mapa final'!$O$38),"")</f>
        <v/>
      </c>
      <c r="AF11" s="58" t="str">
        <f>IF(AND('Mapa final'!$Y$39="Muy Alta",'Mapa final'!$AA$39="Mayor"),CONCATENATE("R6C",'Mapa final'!$O$39),"")</f>
        <v/>
      </c>
      <c r="AG11" s="54" t="str">
        <f>IF(AND('Mapa final'!$Y$40="Muy Alta",'Mapa final'!$AA$40="Mayor"),CONCATENATE("R6C",'Mapa final'!$O$40),"")</f>
        <v/>
      </c>
      <c r="AH11" s="55" t="str">
        <f>IF(AND('Mapa final'!$Y$35="Muy Alta",'Mapa final'!$AA$35="Catastrófico"),CONCATENATE("R6C",'Mapa final'!$O$35),"")</f>
        <v/>
      </c>
      <c r="AI11" s="56" t="str">
        <f>IF(AND('Mapa final'!$Y$36="Muy Alta",'Mapa final'!$AA$36="Catastrófico"),CONCATENATE("R6C",'Mapa final'!$O$36),"")</f>
        <v/>
      </c>
      <c r="AJ11" s="56" t="str">
        <f>IF(AND('Mapa final'!$Y$37="Muy Alta",'Mapa final'!$AA$37="Catastrófico"),CONCATENATE("R6C",'Mapa final'!$O$37),"")</f>
        <v/>
      </c>
      <c r="AK11" s="56" t="str">
        <f>IF(AND('Mapa final'!$Y$38="Muy Alta",'Mapa final'!$AA$38="Catastrófico"),CONCATENATE("R6C",'Mapa final'!$O$38),"")</f>
        <v/>
      </c>
      <c r="AL11" s="56" t="str">
        <f>IF(AND('Mapa final'!$Y$39="Muy Alta",'Mapa final'!$AA$39="Catastrófico"),CONCATENATE("R6C",'Mapa final'!$O$39),"")</f>
        <v/>
      </c>
      <c r="AM11" s="57" t="str">
        <f>IF(AND('Mapa final'!$Y$40="Muy Alta",'Mapa final'!$AA$40="Catastrófico"),CONCATENATE("R6C",'Mapa final'!$O$40),"")</f>
        <v/>
      </c>
      <c r="AN11" s="84"/>
      <c r="AO11" s="367"/>
      <c r="AP11" s="368"/>
      <c r="AQ11" s="368"/>
      <c r="AR11" s="368"/>
      <c r="AS11" s="368"/>
      <c r="AT11" s="36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305"/>
      <c r="C12" s="305"/>
      <c r="D12" s="306"/>
      <c r="E12" s="346"/>
      <c r="F12" s="347"/>
      <c r="G12" s="347"/>
      <c r="H12" s="347"/>
      <c r="I12" s="348"/>
      <c r="J12" s="52" t="str">
        <f>IF(AND('Mapa final'!$Y$41="Muy Alta",'Mapa final'!$AA$41="Leve"),CONCATENATE("R7C",'Mapa final'!$O$41),"")</f>
        <v/>
      </c>
      <c r="K12" s="53" t="str">
        <f>IF(AND('Mapa final'!$Y$42="Muy Alta",'Mapa final'!$AA$42="Leve"),CONCATENATE("R7C",'Mapa final'!$O$42),"")</f>
        <v/>
      </c>
      <c r="L12" s="58" t="str">
        <f>IF(AND('Mapa final'!$Y$43="Muy Alta",'Mapa final'!$AA$43="Leve"),CONCATENATE("R7C",'Mapa final'!$O$43),"")</f>
        <v/>
      </c>
      <c r="M12" s="58" t="str">
        <f>IF(AND('Mapa final'!$Y$44="Muy Alta",'Mapa final'!$AA$44="Leve"),CONCATENATE("R7C",'Mapa final'!$O$44),"")</f>
        <v/>
      </c>
      <c r="N12" s="58" t="str">
        <f>IF(AND('Mapa final'!$Y$45="Muy Alta",'Mapa final'!$AA$45="Leve"),CONCATENATE("R7C",'Mapa final'!$O$45),"")</f>
        <v/>
      </c>
      <c r="O12" s="54" t="str">
        <f>IF(AND('Mapa final'!$Y$46="Muy Alta",'Mapa final'!$AA$46="Leve"),CONCATENATE("R7C",'Mapa final'!$O$46),"")</f>
        <v/>
      </c>
      <c r="P12" s="52" t="str">
        <f>IF(AND('Mapa final'!$Y$41="Muy Alta",'Mapa final'!$AA$41="Menor"),CONCATENATE("R7C",'Mapa final'!$O$41),"")</f>
        <v/>
      </c>
      <c r="Q12" s="53" t="str">
        <f>IF(AND('Mapa final'!$Y$42="Muy Alta",'Mapa final'!$AA$42="Menor"),CONCATENATE("R7C",'Mapa final'!$O$42),"")</f>
        <v/>
      </c>
      <c r="R12" s="58" t="str">
        <f>IF(AND('Mapa final'!$Y$43="Muy Alta",'Mapa final'!$AA$43="Menor"),CONCATENATE("R7C",'Mapa final'!$O$43),"")</f>
        <v/>
      </c>
      <c r="S12" s="58" t="str">
        <f>IF(AND('Mapa final'!$Y$44="Muy Alta",'Mapa final'!$AA$44="Menor"),CONCATENATE("R7C",'Mapa final'!$O$44),"")</f>
        <v/>
      </c>
      <c r="T12" s="58" t="str">
        <f>IF(AND('Mapa final'!$Y$45="Muy Alta",'Mapa final'!$AA$45="Menor"),CONCATENATE("R7C",'Mapa final'!$O$45),"")</f>
        <v/>
      </c>
      <c r="U12" s="54" t="str">
        <f>IF(AND('Mapa final'!$Y$46="Muy Alta",'Mapa final'!$AA$46="Menor"),CONCATENATE("R7C",'Mapa final'!$O$46),"")</f>
        <v/>
      </c>
      <c r="V12" s="52" t="str">
        <f>IF(AND('Mapa final'!$Y$41="Muy Alta",'Mapa final'!$AA$41="Moderado"),CONCATENATE("R7C",'Mapa final'!$O$41),"")</f>
        <v/>
      </c>
      <c r="W12" s="53" t="str">
        <f>IF(AND('Mapa final'!$Y$42="Muy Alta",'Mapa final'!$AA$42="Moderado"),CONCATENATE("R7C",'Mapa final'!$O$42),"")</f>
        <v/>
      </c>
      <c r="X12" s="58" t="str">
        <f>IF(AND('Mapa final'!$Y$43="Muy Alta",'Mapa final'!$AA$43="Moderado"),CONCATENATE("R7C",'Mapa final'!$O$43),"")</f>
        <v/>
      </c>
      <c r="Y12" s="58" t="str">
        <f>IF(AND('Mapa final'!$Y$44="Muy Alta",'Mapa final'!$AA$44="Moderado"),CONCATENATE("R7C",'Mapa final'!$O$44),"")</f>
        <v/>
      </c>
      <c r="Z12" s="58" t="str">
        <f>IF(AND('Mapa final'!$Y$45="Muy Alta",'Mapa final'!$AA$45="Moderado"),CONCATENATE("R7C",'Mapa final'!$O$45),"")</f>
        <v/>
      </c>
      <c r="AA12" s="54" t="str">
        <f>IF(AND('Mapa final'!$Y$46="Muy Alta",'Mapa final'!$AA$46="Moderado"),CONCATENATE("R7C",'Mapa final'!$O$46),"")</f>
        <v/>
      </c>
      <c r="AB12" s="52" t="str">
        <f>IF(AND('Mapa final'!$Y$41="Muy Alta",'Mapa final'!$AA$41="Mayor"),CONCATENATE("R7C",'Mapa final'!$O$41),"")</f>
        <v/>
      </c>
      <c r="AC12" s="53" t="str">
        <f>IF(AND('Mapa final'!$Y$42="Muy Alta",'Mapa final'!$AA$42="Mayor"),CONCATENATE("R7C",'Mapa final'!$O$42),"")</f>
        <v/>
      </c>
      <c r="AD12" s="58" t="str">
        <f>IF(AND('Mapa final'!$Y$43="Muy Alta",'Mapa final'!$AA$43="Mayor"),CONCATENATE("R7C",'Mapa final'!$O$43),"")</f>
        <v/>
      </c>
      <c r="AE12" s="58" t="str">
        <f>IF(AND('Mapa final'!$Y$44="Muy Alta",'Mapa final'!$AA$44="Mayor"),CONCATENATE("R7C",'Mapa final'!$O$44),"")</f>
        <v/>
      </c>
      <c r="AF12" s="58" t="str">
        <f>IF(AND('Mapa final'!$Y$45="Muy Alta",'Mapa final'!$AA$45="Mayor"),CONCATENATE("R7C",'Mapa final'!$O$45),"")</f>
        <v/>
      </c>
      <c r="AG12" s="54" t="str">
        <f>IF(AND('Mapa final'!$Y$46="Muy Alta",'Mapa final'!$AA$46="Mayor"),CONCATENATE("R7C",'Mapa final'!$O$46),"")</f>
        <v/>
      </c>
      <c r="AH12" s="55" t="str">
        <f>IF(AND('Mapa final'!$Y$41="Muy Alta",'Mapa final'!$AA$41="Catastrófico"),CONCATENATE("R7C",'Mapa final'!$O$41),"")</f>
        <v/>
      </c>
      <c r="AI12" s="56" t="str">
        <f>IF(AND('Mapa final'!$Y$42="Muy Alta",'Mapa final'!$AA$42="Catastrófico"),CONCATENATE("R7C",'Mapa final'!$O$42),"")</f>
        <v/>
      </c>
      <c r="AJ12" s="56" t="str">
        <f>IF(AND('Mapa final'!$Y$43="Muy Alta",'Mapa final'!$AA$43="Catastrófico"),CONCATENATE("R7C",'Mapa final'!$O$43),"")</f>
        <v/>
      </c>
      <c r="AK12" s="56" t="str">
        <f>IF(AND('Mapa final'!$Y$44="Muy Alta",'Mapa final'!$AA$44="Catastrófico"),CONCATENATE("R7C",'Mapa final'!$O$44),"")</f>
        <v/>
      </c>
      <c r="AL12" s="56" t="str">
        <f>IF(AND('Mapa final'!$Y$45="Muy Alta",'Mapa final'!$AA$45="Catastrófico"),CONCATENATE("R7C",'Mapa final'!$O$45),"")</f>
        <v/>
      </c>
      <c r="AM12" s="57" t="str">
        <f>IF(AND('Mapa final'!$Y$46="Muy Alta",'Mapa final'!$AA$46="Catastrófico"),CONCATENATE("R7C",'Mapa final'!$O$46),"")</f>
        <v/>
      </c>
      <c r="AN12" s="84"/>
      <c r="AO12" s="367"/>
      <c r="AP12" s="368"/>
      <c r="AQ12" s="368"/>
      <c r="AR12" s="368"/>
      <c r="AS12" s="368"/>
      <c r="AT12" s="36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305"/>
      <c r="C13" s="305"/>
      <c r="D13" s="306"/>
      <c r="E13" s="346"/>
      <c r="F13" s="347"/>
      <c r="G13" s="347"/>
      <c r="H13" s="347"/>
      <c r="I13" s="348"/>
      <c r="J13" s="52" t="str">
        <f>IF(AND('Mapa final'!$Y$47="Muy Alta",'Mapa final'!$AA$47="Leve"),CONCATENATE("R8C",'Mapa final'!$O$47),"")</f>
        <v/>
      </c>
      <c r="K13" s="53" t="str">
        <f>IF(AND('Mapa final'!$Y$48="Muy Alta",'Mapa final'!$AA$48="Leve"),CONCATENATE("R8C",'Mapa final'!$O$48),"")</f>
        <v/>
      </c>
      <c r="L13" s="58" t="str">
        <f>IF(AND('Mapa final'!$Y$49="Muy Alta",'Mapa final'!$AA$49="Leve"),CONCATENATE("R8C",'Mapa final'!$O$49),"")</f>
        <v/>
      </c>
      <c r="M13" s="58" t="str">
        <f>IF(AND('Mapa final'!$Y$50="Muy Alta",'Mapa final'!$AA$50="Leve"),CONCATENATE("R8C",'Mapa final'!$O$50),"")</f>
        <v/>
      </c>
      <c r="N13" s="58" t="str">
        <f>IF(AND('Mapa final'!$Y$51="Muy Alta",'Mapa final'!$AA$51="Leve"),CONCATENATE("R8C",'Mapa final'!$O$51),"")</f>
        <v/>
      </c>
      <c r="O13" s="54" t="str">
        <f>IF(AND('Mapa final'!$Y$52="Muy Alta",'Mapa final'!$AA$52="Leve"),CONCATENATE("R8C",'Mapa final'!$O$52),"")</f>
        <v/>
      </c>
      <c r="P13" s="52" t="str">
        <f>IF(AND('Mapa final'!$Y$47="Muy Alta",'Mapa final'!$AA$47="Menor"),CONCATENATE("R8C",'Mapa final'!$O$47),"")</f>
        <v/>
      </c>
      <c r="Q13" s="53" t="str">
        <f>IF(AND('Mapa final'!$Y$48="Muy Alta",'Mapa final'!$AA$48="Menor"),CONCATENATE("R8C",'Mapa final'!$O$48),"")</f>
        <v/>
      </c>
      <c r="R13" s="58" t="str">
        <f>IF(AND('Mapa final'!$Y$49="Muy Alta",'Mapa final'!$AA$49="Menor"),CONCATENATE("R8C",'Mapa final'!$O$49),"")</f>
        <v/>
      </c>
      <c r="S13" s="58" t="str">
        <f>IF(AND('Mapa final'!$Y$50="Muy Alta",'Mapa final'!$AA$50="Menor"),CONCATENATE("R8C",'Mapa final'!$O$50),"")</f>
        <v/>
      </c>
      <c r="T13" s="58" t="str">
        <f>IF(AND('Mapa final'!$Y$51="Muy Alta",'Mapa final'!$AA$51="Menor"),CONCATENATE("R8C",'Mapa final'!$O$51),"")</f>
        <v/>
      </c>
      <c r="U13" s="54" t="str">
        <f>IF(AND('Mapa final'!$Y$52="Muy Alta",'Mapa final'!$AA$52="Menor"),CONCATENATE("R8C",'Mapa final'!$O$52),"")</f>
        <v/>
      </c>
      <c r="V13" s="52" t="str">
        <f>IF(AND('Mapa final'!$Y$47="Muy Alta",'Mapa final'!$AA$47="Moderado"),CONCATENATE("R8C",'Mapa final'!$O$47),"")</f>
        <v/>
      </c>
      <c r="W13" s="53" t="str">
        <f>IF(AND('Mapa final'!$Y$48="Muy Alta",'Mapa final'!$AA$48="Moderado"),CONCATENATE("R8C",'Mapa final'!$O$48),"")</f>
        <v/>
      </c>
      <c r="X13" s="58" t="str">
        <f>IF(AND('Mapa final'!$Y$49="Muy Alta",'Mapa final'!$AA$49="Moderado"),CONCATENATE("R8C",'Mapa final'!$O$49),"")</f>
        <v/>
      </c>
      <c r="Y13" s="58" t="str">
        <f>IF(AND('Mapa final'!$Y$50="Muy Alta",'Mapa final'!$AA$50="Moderado"),CONCATENATE("R8C",'Mapa final'!$O$50),"")</f>
        <v/>
      </c>
      <c r="Z13" s="58" t="str">
        <f>IF(AND('Mapa final'!$Y$51="Muy Alta",'Mapa final'!$AA$51="Moderado"),CONCATENATE("R8C",'Mapa final'!$O$51),"")</f>
        <v/>
      </c>
      <c r="AA13" s="54" t="str">
        <f>IF(AND('Mapa final'!$Y$52="Muy Alta",'Mapa final'!$AA$52="Moderado"),CONCATENATE("R8C",'Mapa final'!$O$52),"")</f>
        <v/>
      </c>
      <c r="AB13" s="52" t="str">
        <f>IF(AND('Mapa final'!$Y$47="Muy Alta",'Mapa final'!$AA$47="Mayor"),CONCATENATE("R8C",'Mapa final'!$O$47),"")</f>
        <v/>
      </c>
      <c r="AC13" s="53" t="str">
        <f>IF(AND('Mapa final'!$Y$48="Muy Alta",'Mapa final'!$AA$48="Mayor"),CONCATENATE("R8C",'Mapa final'!$O$48),"")</f>
        <v/>
      </c>
      <c r="AD13" s="58" t="str">
        <f>IF(AND('Mapa final'!$Y$49="Muy Alta",'Mapa final'!$AA$49="Mayor"),CONCATENATE("R8C",'Mapa final'!$O$49),"")</f>
        <v/>
      </c>
      <c r="AE13" s="58" t="str">
        <f>IF(AND('Mapa final'!$Y$50="Muy Alta",'Mapa final'!$AA$50="Mayor"),CONCATENATE("R8C",'Mapa final'!$O$50),"")</f>
        <v/>
      </c>
      <c r="AF13" s="58" t="str">
        <f>IF(AND('Mapa final'!$Y$51="Muy Alta",'Mapa final'!$AA$51="Mayor"),CONCATENATE("R8C",'Mapa final'!$O$51),"")</f>
        <v/>
      </c>
      <c r="AG13" s="54" t="str">
        <f>IF(AND('Mapa final'!$Y$52="Muy Alta",'Mapa final'!$AA$52="Mayor"),CONCATENATE("R8C",'Mapa final'!$O$52),"")</f>
        <v/>
      </c>
      <c r="AH13" s="55" t="str">
        <f>IF(AND('Mapa final'!$Y$47="Muy Alta",'Mapa final'!$AA$47="Catastrófico"),CONCATENATE("R8C",'Mapa final'!$O$47),"")</f>
        <v/>
      </c>
      <c r="AI13" s="56" t="str">
        <f>IF(AND('Mapa final'!$Y$48="Muy Alta",'Mapa final'!$AA$48="Catastrófico"),CONCATENATE("R8C",'Mapa final'!$O$48),"")</f>
        <v/>
      </c>
      <c r="AJ13" s="56" t="str">
        <f>IF(AND('Mapa final'!$Y$49="Muy Alta",'Mapa final'!$AA$49="Catastrófico"),CONCATENATE("R8C",'Mapa final'!$O$49),"")</f>
        <v/>
      </c>
      <c r="AK13" s="56" t="str">
        <f>IF(AND('Mapa final'!$Y$50="Muy Alta",'Mapa final'!$AA$50="Catastrófico"),CONCATENATE("R8C",'Mapa final'!$O$50),"")</f>
        <v/>
      </c>
      <c r="AL13" s="56" t="str">
        <f>IF(AND('Mapa final'!$Y$51="Muy Alta",'Mapa final'!$AA$51="Catastrófico"),CONCATENATE("R8C",'Mapa final'!$O$51),"")</f>
        <v/>
      </c>
      <c r="AM13" s="57" t="str">
        <f>IF(AND('Mapa final'!$Y$52="Muy Alta",'Mapa final'!$AA$52="Catastrófico"),CONCATENATE("R8C",'Mapa final'!$O$52),"")</f>
        <v/>
      </c>
      <c r="AN13" s="84"/>
      <c r="AO13" s="367"/>
      <c r="AP13" s="368"/>
      <c r="AQ13" s="368"/>
      <c r="AR13" s="368"/>
      <c r="AS13" s="368"/>
      <c r="AT13" s="36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305"/>
      <c r="C14" s="305"/>
      <c r="D14" s="306"/>
      <c r="E14" s="346"/>
      <c r="F14" s="347"/>
      <c r="G14" s="347"/>
      <c r="H14" s="347"/>
      <c r="I14" s="348"/>
      <c r="J14" s="52" t="str">
        <f>IF(AND('Mapa final'!$Y$53="Muy Alta",'Mapa final'!$AA$53="Leve"),CONCATENATE("R9C",'Mapa final'!$O$53),"")</f>
        <v/>
      </c>
      <c r="K14" s="53" t="str">
        <f>IF(AND('Mapa final'!$Y$54="Muy Alta",'Mapa final'!$AA$54="Leve"),CONCATENATE("R9C",'Mapa final'!$O$54),"")</f>
        <v/>
      </c>
      <c r="L14" s="58" t="str">
        <f>IF(AND('Mapa final'!$Y$55="Muy Alta",'Mapa final'!$AA$55="Leve"),CONCATENATE("R9C",'Mapa final'!$O$55),"")</f>
        <v/>
      </c>
      <c r="M14" s="58" t="str">
        <f>IF(AND('Mapa final'!$Y$56="Muy Alta",'Mapa final'!$AA$56="Leve"),CONCATENATE("R9C",'Mapa final'!$O$56),"")</f>
        <v/>
      </c>
      <c r="N14" s="58" t="str">
        <f>IF(AND('Mapa final'!$Y$57="Muy Alta",'Mapa final'!$AA$57="Leve"),CONCATENATE("R9C",'Mapa final'!$O$57),"")</f>
        <v/>
      </c>
      <c r="O14" s="54" t="str">
        <f>IF(AND('Mapa final'!$Y$58="Muy Alta",'Mapa final'!$AA$58="Leve"),CONCATENATE("R9C",'Mapa final'!$O$58),"")</f>
        <v/>
      </c>
      <c r="P14" s="52" t="str">
        <f>IF(AND('Mapa final'!$Y$53="Muy Alta",'Mapa final'!$AA$53="Menor"),CONCATENATE("R9C",'Mapa final'!$O$53),"")</f>
        <v/>
      </c>
      <c r="Q14" s="53" t="str">
        <f>IF(AND('Mapa final'!$Y$54="Muy Alta",'Mapa final'!$AA$54="Menor"),CONCATENATE("R9C",'Mapa final'!$O$54),"")</f>
        <v/>
      </c>
      <c r="R14" s="58" t="str">
        <f>IF(AND('Mapa final'!$Y$55="Muy Alta",'Mapa final'!$AA$55="Menor"),CONCATENATE("R9C",'Mapa final'!$O$55),"")</f>
        <v/>
      </c>
      <c r="S14" s="58" t="str">
        <f>IF(AND('Mapa final'!$Y$56="Muy Alta",'Mapa final'!$AA$56="Menor"),CONCATENATE("R9C",'Mapa final'!$O$56),"")</f>
        <v/>
      </c>
      <c r="T14" s="58" t="str">
        <f>IF(AND('Mapa final'!$Y$57="Muy Alta",'Mapa final'!$AA$57="Menor"),CONCATENATE("R9C",'Mapa final'!$O$57),"")</f>
        <v/>
      </c>
      <c r="U14" s="54" t="str">
        <f>IF(AND('Mapa final'!$Y$58="Muy Alta",'Mapa final'!$AA$58="Menor"),CONCATENATE("R9C",'Mapa final'!$O$58),"")</f>
        <v/>
      </c>
      <c r="V14" s="52" t="str">
        <f>IF(AND('Mapa final'!$Y$53="Muy Alta",'Mapa final'!$AA$53="Moderado"),CONCATENATE("R9C",'Mapa final'!$O$53),"")</f>
        <v/>
      </c>
      <c r="W14" s="53" t="str">
        <f>IF(AND('Mapa final'!$Y$54="Muy Alta",'Mapa final'!$AA$54="Moderado"),CONCATENATE("R9C",'Mapa final'!$O$54),"")</f>
        <v/>
      </c>
      <c r="X14" s="58" t="str">
        <f>IF(AND('Mapa final'!$Y$55="Muy Alta",'Mapa final'!$AA$55="Moderado"),CONCATENATE("R9C",'Mapa final'!$O$55),"")</f>
        <v/>
      </c>
      <c r="Y14" s="58" t="str">
        <f>IF(AND('Mapa final'!$Y$56="Muy Alta",'Mapa final'!$AA$56="Moderado"),CONCATENATE("R9C",'Mapa final'!$O$56),"")</f>
        <v/>
      </c>
      <c r="Z14" s="58" t="str">
        <f>IF(AND('Mapa final'!$Y$57="Muy Alta",'Mapa final'!$AA$57="Moderado"),CONCATENATE("R9C",'Mapa final'!$O$57),"")</f>
        <v/>
      </c>
      <c r="AA14" s="54" t="str">
        <f>IF(AND('Mapa final'!$Y$58="Muy Alta",'Mapa final'!$AA$58="Moderado"),CONCATENATE("R9C",'Mapa final'!$O$58),"")</f>
        <v/>
      </c>
      <c r="AB14" s="52" t="str">
        <f>IF(AND('Mapa final'!$Y$53="Muy Alta",'Mapa final'!$AA$53="Mayor"),CONCATENATE("R9C",'Mapa final'!$O$53),"")</f>
        <v/>
      </c>
      <c r="AC14" s="53" t="str">
        <f>IF(AND('Mapa final'!$Y$54="Muy Alta",'Mapa final'!$AA$54="Mayor"),CONCATENATE("R9C",'Mapa final'!$O$54),"")</f>
        <v/>
      </c>
      <c r="AD14" s="58" t="str">
        <f>IF(AND('Mapa final'!$Y$55="Muy Alta",'Mapa final'!$AA$55="Mayor"),CONCATENATE("R9C",'Mapa final'!$O$55),"")</f>
        <v/>
      </c>
      <c r="AE14" s="58" t="str">
        <f>IF(AND('Mapa final'!$Y$56="Muy Alta",'Mapa final'!$AA$56="Mayor"),CONCATENATE("R9C",'Mapa final'!$O$56),"")</f>
        <v/>
      </c>
      <c r="AF14" s="58" t="str">
        <f>IF(AND('Mapa final'!$Y$57="Muy Alta",'Mapa final'!$AA$57="Mayor"),CONCATENATE("R9C",'Mapa final'!$O$57),"")</f>
        <v/>
      </c>
      <c r="AG14" s="54" t="str">
        <f>IF(AND('Mapa final'!$Y$58="Muy Alta",'Mapa final'!$AA$58="Mayor"),CONCATENATE("R9C",'Mapa final'!$O$58),"")</f>
        <v/>
      </c>
      <c r="AH14" s="55" t="str">
        <f>IF(AND('Mapa final'!$Y$53="Muy Alta",'Mapa final'!$AA$53="Catastrófico"),CONCATENATE("R9C",'Mapa final'!$O$53),"")</f>
        <v/>
      </c>
      <c r="AI14" s="56" t="str">
        <f>IF(AND('Mapa final'!$Y$54="Muy Alta",'Mapa final'!$AA$54="Catastrófico"),CONCATENATE("R9C",'Mapa final'!$O$54),"")</f>
        <v/>
      </c>
      <c r="AJ14" s="56" t="str">
        <f>IF(AND('Mapa final'!$Y$55="Muy Alta",'Mapa final'!$AA$55="Catastrófico"),CONCATENATE("R9C",'Mapa final'!$O$55),"")</f>
        <v/>
      </c>
      <c r="AK14" s="56" t="str">
        <f>IF(AND('Mapa final'!$Y$56="Muy Alta",'Mapa final'!$AA$56="Catastrófico"),CONCATENATE("R9C",'Mapa final'!$O$56),"")</f>
        <v/>
      </c>
      <c r="AL14" s="56" t="str">
        <f>IF(AND('Mapa final'!$Y$57="Muy Alta",'Mapa final'!$AA$57="Catastrófico"),CONCATENATE("R9C",'Mapa final'!$O$57),"")</f>
        <v/>
      </c>
      <c r="AM14" s="57" t="str">
        <f>IF(AND('Mapa final'!$Y$58="Muy Alta",'Mapa final'!$AA$58="Catastrófico"),CONCATENATE("R9C",'Mapa final'!$O$58),"")</f>
        <v/>
      </c>
      <c r="AN14" s="84"/>
      <c r="AO14" s="367"/>
      <c r="AP14" s="368"/>
      <c r="AQ14" s="368"/>
      <c r="AR14" s="368"/>
      <c r="AS14" s="368"/>
      <c r="AT14" s="36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305"/>
      <c r="C15" s="305"/>
      <c r="D15" s="306"/>
      <c r="E15" s="349"/>
      <c r="F15" s="350"/>
      <c r="G15" s="350"/>
      <c r="H15" s="350"/>
      <c r="I15" s="351"/>
      <c r="J15" s="59" t="str">
        <f>IF(AND('Mapa final'!$Y$59="Muy Alta",'Mapa final'!$AA$59="Leve"),CONCATENATE("R10C",'Mapa final'!$O$59),"")</f>
        <v/>
      </c>
      <c r="K15" s="60" t="str">
        <f>IF(AND('Mapa final'!$Y$60="Muy Alta",'Mapa final'!$AA$60="Leve"),CONCATENATE("R10C",'Mapa final'!$O$60),"")</f>
        <v/>
      </c>
      <c r="L15" s="60" t="str">
        <f>IF(AND('Mapa final'!$Y$61="Muy Alta",'Mapa final'!$AA$61="Leve"),CONCATENATE("R10C",'Mapa final'!$O$61),"")</f>
        <v/>
      </c>
      <c r="M15" s="60" t="str">
        <f>IF(AND('Mapa final'!$Y$62="Muy Alta",'Mapa final'!$AA$62="Leve"),CONCATENATE("R10C",'Mapa final'!$O$62),"")</f>
        <v/>
      </c>
      <c r="N15" s="60" t="str">
        <f>IF(AND('Mapa final'!$Y$63="Muy Alta",'Mapa final'!$AA$63="Leve"),CONCATENATE("R10C",'Mapa final'!$O$63),"")</f>
        <v/>
      </c>
      <c r="O15" s="61" t="str">
        <f>IF(AND('Mapa final'!$Y$64="Muy Alta",'Mapa final'!$AA$64="Leve"),CONCATENATE("R10C",'Mapa final'!$O$64),"")</f>
        <v/>
      </c>
      <c r="P15" s="52" t="str">
        <f>IF(AND('Mapa final'!$Y$59="Muy Alta",'Mapa final'!$AA$59="Menor"),CONCATENATE("R10C",'Mapa final'!$O$59),"")</f>
        <v/>
      </c>
      <c r="Q15" s="53" t="str">
        <f>IF(AND('Mapa final'!$Y$60="Muy Alta",'Mapa final'!$AA$60="Menor"),CONCATENATE("R10C",'Mapa final'!$O$60),"")</f>
        <v/>
      </c>
      <c r="R15" s="53" t="str">
        <f>IF(AND('Mapa final'!$Y$61="Muy Alta",'Mapa final'!$AA$61="Menor"),CONCATENATE("R10C",'Mapa final'!$O$61),"")</f>
        <v/>
      </c>
      <c r="S15" s="53" t="str">
        <f>IF(AND('Mapa final'!$Y$62="Muy Alta",'Mapa final'!$AA$62="Menor"),CONCATENATE("R10C",'Mapa final'!$O$62),"")</f>
        <v/>
      </c>
      <c r="T15" s="53" t="str">
        <f>IF(AND('Mapa final'!$Y$63="Muy Alta",'Mapa final'!$AA$63="Menor"),CONCATENATE("R10C",'Mapa final'!$O$63),"")</f>
        <v/>
      </c>
      <c r="U15" s="54" t="str">
        <f>IF(AND('Mapa final'!$Y$64="Muy Alta",'Mapa final'!$AA$64="Menor"),CONCATENATE("R10C",'Mapa final'!$O$64),"")</f>
        <v/>
      </c>
      <c r="V15" s="59" t="str">
        <f>IF(AND('Mapa final'!$Y$59="Muy Alta",'Mapa final'!$AA$59="Moderado"),CONCATENATE("R10C",'Mapa final'!$O$59),"")</f>
        <v/>
      </c>
      <c r="W15" s="60" t="str">
        <f>IF(AND('Mapa final'!$Y$60="Muy Alta",'Mapa final'!$AA$60="Moderado"),CONCATENATE("R10C",'Mapa final'!$O$60),"")</f>
        <v/>
      </c>
      <c r="X15" s="60" t="str">
        <f>IF(AND('Mapa final'!$Y$61="Muy Alta",'Mapa final'!$AA$61="Moderado"),CONCATENATE("R10C",'Mapa final'!$O$61),"")</f>
        <v/>
      </c>
      <c r="Y15" s="60" t="str">
        <f>IF(AND('Mapa final'!$Y$62="Muy Alta",'Mapa final'!$AA$62="Moderado"),CONCATENATE("R10C",'Mapa final'!$O$62),"")</f>
        <v/>
      </c>
      <c r="Z15" s="60" t="str">
        <f>IF(AND('Mapa final'!$Y$63="Muy Alta",'Mapa final'!$AA$63="Moderado"),CONCATENATE("R10C",'Mapa final'!$O$63),"")</f>
        <v/>
      </c>
      <c r="AA15" s="61" t="str">
        <f>IF(AND('Mapa final'!$Y$64="Muy Alta",'Mapa final'!$AA$64="Moderado"),CONCATENATE("R10C",'Mapa final'!$O$64),"")</f>
        <v/>
      </c>
      <c r="AB15" s="52" t="str">
        <f>IF(AND('Mapa final'!$Y$59="Muy Alta",'Mapa final'!$AA$59="Mayor"),CONCATENATE("R10C",'Mapa final'!$O$59),"")</f>
        <v/>
      </c>
      <c r="AC15" s="53" t="str">
        <f>IF(AND('Mapa final'!$Y$60="Muy Alta",'Mapa final'!$AA$60="Mayor"),CONCATENATE("R10C",'Mapa final'!$O$60),"")</f>
        <v/>
      </c>
      <c r="AD15" s="53" t="str">
        <f>IF(AND('Mapa final'!$Y$61="Muy Alta",'Mapa final'!$AA$61="Mayor"),CONCATENATE("R10C",'Mapa final'!$O$61),"")</f>
        <v/>
      </c>
      <c r="AE15" s="53" t="str">
        <f>IF(AND('Mapa final'!$Y$62="Muy Alta",'Mapa final'!$AA$62="Mayor"),CONCATENATE("R10C",'Mapa final'!$O$62),"")</f>
        <v/>
      </c>
      <c r="AF15" s="53" t="str">
        <f>IF(AND('Mapa final'!$Y$63="Muy Alta",'Mapa final'!$AA$63="Mayor"),CONCATENATE("R10C",'Mapa final'!$O$63),"")</f>
        <v/>
      </c>
      <c r="AG15" s="54" t="str">
        <f>IF(AND('Mapa final'!$Y$64="Muy Alta",'Mapa final'!$AA$64="Mayor"),CONCATENATE("R10C",'Mapa final'!$O$64),"")</f>
        <v/>
      </c>
      <c r="AH15" s="62" t="str">
        <f>IF(AND('Mapa final'!$Y$59="Muy Alta",'Mapa final'!$AA$59="Catastrófico"),CONCATENATE("R10C",'Mapa final'!$O$59),"")</f>
        <v/>
      </c>
      <c r="AI15" s="63" t="str">
        <f>IF(AND('Mapa final'!$Y$60="Muy Alta",'Mapa final'!$AA$60="Catastrófico"),CONCATENATE("R10C",'Mapa final'!$O$60),"")</f>
        <v/>
      </c>
      <c r="AJ15" s="63" t="str">
        <f>IF(AND('Mapa final'!$Y$61="Muy Alta",'Mapa final'!$AA$61="Catastrófico"),CONCATENATE("R10C",'Mapa final'!$O$61),"")</f>
        <v/>
      </c>
      <c r="AK15" s="63" t="str">
        <f>IF(AND('Mapa final'!$Y$62="Muy Alta",'Mapa final'!$AA$62="Catastrófico"),CONCATENATE("R10C",'Mapa final'!$O$62),"")</f>
        <v/>
      </c>
      <c r="AL15" s="63" t="str">
        <f>IF(AND('Mapa final'!$Y$63="Muy Alta",'Mapa final'!$AA$63="Catastrófico"),CONCATENATE("R10C",'Mapa final'!$O$63),"")</f>
        <v/>
      </c>
      <c r="AM15" s="64" t="str">
        <f>IF(AND('Mapa final'!$Y$64="Muy Alta",'Mapa final'!$AA$64="Catastrófico"),CONCATENATE("R10C",'Mapa final'!$O$64),"")</f>
        <v/>
      </c>
      <c r="AN15" s="84"/>
      <c r="AO15" s="370"/>
      <c r="AP15" s="371"/>
      <c r="AQ15" s="371"/>
      <c r="AR15" s="371"/>
      <c r="AS15" s="371"/>
      <c r="AT15" s="37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305"/>
      <c r="C16" s="305"/>
      <c r="D16" s="306"/>
      <c r="E16" s="343" t="s">
        <v>115</v>
      </c>
      <c r="F16" s="344"/>
      <c r="G16" s="344"/>
      <c r="H16" s="344"/>
      <c r="I16" s="344"/>
      <c r="J16" s="65" t="str">
        <f>IF(AND('Mapa final'!$Y$10="Alta",'Mapa final'!$AA$10="Leve"),CONCATENATE("R1C",'Mapa final'!$O$10),"")</f>
        <v>R1C</v>
      </c>
      <c r="K16" s="66" t="str">
        <f>IF(AND('Mapa final'!$Y$11="Alta",'Mapa final'!$AA$11="Leve"),CONCATENATE("R1C",'Mapa final'!$O$11),"")</f>
        <v/>
      </c>
      <c r="L16" s="66" t="str">
        <f>IF(AND('Mapa final'!$Y$12="Alta",'Mapa final'!$AA$12="Leve"),CONCATENATE("R1C",'Mapa final'!$O$12),"")</f>
        <v/>
      </c>
      <c r="M16" s="66" t="str">
        <f>IF(AND('Mapa final'!$Y$13="Alta",'Mapa final'!$AA$13="Leve"),CONCATENATE("R1C",'Mapa final'!$O$13),"")</f>
        <v/>
      </c>
      <c r="N16" s="66" t="e">
        <f>IF(AND('Mapa final'!#REF!="Alta",'Mapa final'!#REF!="Leve"),CONCATENATE("R1C",'Mapa final'!#REF!),"")</f>
        <v>#REF!</v>
      </c>
      <c r="O16" s="67" t="str">
        <f>IF(AND('Mapa final'!$Y$14="Alta",'Mapa final'!$AA$14="Leve"),CONCATENATE("R1C",'Mapa final'!$O$14),"")</f>
        <v/>
      </c>
      <c r="P16" s="65" t="str">
        <f>IF(AND('Mapa final'!$Y$10="Alta",'Mapa final'!$AA$10="Menor"),CONCATENATE("R1C",'Mapa final'!$O$10),"")</f>
        <v/>
      </c>
      <c r="Q16" s="66" t="str">
        <f>IF(AND('Mapa final'!$Y$11="Alta",'Mapa final'!$AA$11="Menor"),CONCATENATE("R1C",'Mapa final'!$O$11),"")</f>
        <v/>
      </c>
      <c r="R16" s="66" t="str">
        <f>IF(AND('Mapa final'!$Y$12="Alta",'Mapa final'!$AA$12="Menor"),CONCATENATE("R1C",'Mapa final'!$O$12),"")</f>
        <v/>
      </c>
      <c r="S16" s="66" t="str">
        <f>IF(AND('Mapa final'!$Y$13="Alta",'Mapa final'!$AA$13="Menor"),CONCATENATE("R1C",'Mapa final'!$O$13),"")</f>
        <v/>
      </c>
      <c r="T16" s="66" t="e">
        <f>IF(AND('Mapa final'!#REF!="Alta",'Mapa final'!#REF!="Menor"),CONCATENATE("R1C",'Mapa final'!#REF!),"")</f>
        <v>#REF!</v>
      </c>
      <c r="U16" s="67" t="str">
        <f>IF(AND('Mapa final'!$Y$14="Alta",'Mapa final'!$AA$14="Menor"),CONCATENATE("R1C",'Mapa final'!$O$14),"")</f>
        <v/>
      </c>
      <c r="V16" s="46" t="str">
        <f>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e">
        <f>IF(AND('Mapa final'!#REF!="Alta",'Mapa final'!#REF!="Moderado"),CONCATENATE("R1C",'Mapa final'!#REF!),"")</f>
        <v>#REF!</v>
      </c>
      <c r="AA16" s="48" t="str">
        <f>IF(AND('Mapa final'!$Y$14="Alta",'Mapa final'!$AA$14="Moderado"),CONCATENATE("R1C",'Mapa final'!$O$14),"")</f>
        <v/>
      </c>
      <c r="AB16" s="46" t="str">
        <f>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e">
        <f>IF(AND('Mapa final'!#REF!="Alta",'Mapa final'!#REF!="Mayor"),CONCATENATE("R1C",'Mapa final'!#REF!),"")</f>
        <v>#REF!</v>
      </c>
      <c r="AG16" s="48" t="str">
        <f>IF(AND('Mapa final'!$Y$14="Alta",'Mapa final'!$AA$14="Mayor"),CONCATENATE("R1C",'Mapa final'!$O$14),"")</f>
        <v/>
      </c>
      <c r="AH16" s="49" t="str">
        <f>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e">
        <f>IF(AND('Mapa final'!#REF!="Alta",'Mapa final'!#REF!="Catastrófico"),CONCATENATE("R1C",'Mapa final'!#REF!),"")</f>
        <v>#REF!</v>
      </c>
      <c r="AM16" s="51" t="str">
        <f>IF(AND('Mapa final'!$Y$14="Alta",'Mapa final'!$AA$14="Catastrófico"),CONCATENATE("R1C",'Mapa final'!$O$14),"")</f>
        <v/>
      </c>
      <c r="AN16" s="84"/>
      <c r="AO16" s="353" t="s">
        <v>80</v>
      </c>
      <c r="AP16" s="354"/>
      <c r="AQ16" s="354"/>
      <c r="AR16" s="354"/>
      <c r="AS16" s="354"/>
      <c r="AT16" s="35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305"/>
      <c r="C17" s="305"/>
      <c r="D17" s="306"/>
      <c r="E17" s="362"/>
      <c r="F17" s="363"/>
      <c r="G17" s="363"/>
      <c r="H17" s="363"/>
      <c r="I17" s="363"/>
      <c r="J17" s="68" t="str">
        <f>IF(AND('Mapa final'!$Y$15="Alta",'Mapa final'!$AA$15="Leve"),CONCATENATE("R2C",'Mapa final'!$O$15),"")</f>
        <v/>
      </c>
      <c r="K17" s="69" t="str">
        <f>IF(AND('Mapa final'!$Y$16="Alta",'Mapa final'!$AA$16="Leve"),CONCATENATE("R2C",'Mapa final'!$O$16),"")</f>
        <v/>
      </c>
      <c r="L17" s="69" t="str">
        <f>IF(AND('Mapa final'!$Y$17="Alta",'Mapa final'!$AA$17="Leve"),CONCATENATE("R2C",'Mapa final'!$O$17),"")</f>
        <v/>
      </c>
      <c r="M17" s="69" t="str">
        <f>IF(AND('Mapa final'!$Y$18="Alta",'Mapa final'!$AA$18="Leve"),CONCATENATE("R2C",'Mapa final'!$O$18),"")</f>
        <v/>
      </c>
      <c r="N17" s="69" t="str">
        <f>IF(AND('Mapa final'!$Y$19="Alta",'Mapa final'!$AA$19="Leve"),CONCATENATE("R2C",'Mapa final'!$O$19),"")</f>
        <v/>
      </c>
      <c r="O17" s="70" t="str">
        <f>IF(AND('Mapa final'!$Y$20="Alta",'Mapa final'!$AA$20="Leve"),CONCATENATE("R2C",'Mapa final'!$O$20),"")</f>
        <v/>
      </c>
      <c r="P17" s="68" t="str">
        <f>IF(AND('Mapa final'!$Y$15="Alta",'Mapa final'!$AA$15="Menor"),CONCATENATE("R2C",'Mapa final'!$O$15),"")</f>
        <v/>
      </c>
      <c r="Q17" s="69" t="str">
        <f>IF(AND('Mapa final'!$Y$16="Alta",'Mapa final'!$AA$16="Menor"),CONCATENATE("R2C",'Mapa final'!$O$16),"")</f>
        <v/>
      </c>
      <c r="R17" s="69" t="str">
        <f>IF(AND('Mapa final'!$Y$17="Alta",'Mapa final'!$AA$17="Menor"),CONCATENATE("R2C",'Mapa final'!$O$17),"")</f>
        <v/>
      </c>
      <c r="S17" s="69" t="str">
        <f>IF(AND('Mapa final'!$Y$18="Alta",'Mapa final'!$AA$18="Menor"),CONCATENATE("R2C",'Mapa final'!$O$18),"")</f>
        <v/>
      </c>
      <c r="T17" s="69" t="str">
        <f>IF(AND('Mapa final'!$Y$19="Alta",'Mapa final'!$AA$19="Menor"),CONCATENATE("R2C",'Mapa final'!$O$19),"")</f>
        <v/>
      </c>
      <c r="U17" s="70" t="str">
        <f>IF(AND('Mapa final'!$Y$20="Alta",'Mapa final'!$AA$20="Menor"),CONCATENATE("R2C",'Mapa final'!$O$20),"")</f>
        <v/>
      </c>
      <c r="V17" s="52" t="str">
        <f>IF(AND('Mapa final'!$Y$15="Alta",'Mapa final'!$AA$15="Moderado"),CONCATENATE("R2C",'Mapa final'!$O$15),"")</f>
        <v/>
      </c>
      <c r="W17" s="53" t="str">
        <f>IF(AND('Mapa final'!$Y$16="Alta",'Mapa final'!$AA$16="Moderado"),CONCATENATE("R2C",'Mapa final'!$O$16),"")</f>
        <v/>
      </c>
      <c r="X17" s="53" t="str">
        <f>IF(AND('Mapa final'!$Y$17="Alta",'Mapa final'!$AA$17="Moderado"),CONCATENATE("R2C",'Mapa final'!$O$17),"")</f>
        <v/>
      </c>
      <c r="Y17" s="53" t="str">
        <f>IF(AND('Mapa final'!$Y$18="Alta",'Mapa final'!$AA$18="Moderado"),CONCATENATE("R2C",'Mapa final'!$O$18),"")</f>
        <v/>
      </c>
      <c r="Z17" s="53" t="str">
        <f>IF(AND('Mapa final'!$Y$19="Alta",'Mapa final'!$AA$19="Moderado"),CONCATENATE("R2C",'Mapa final'!$O$19),"")</f>
        <v/>
      </c>
      <c r="AA17" s="54" t="str">
        <f>IF(AND('Mapa final'!$Y$20="Alta",'Mapa final'!$AA$20="Moderado"),CONCATENATE("R2C",'Mapa final'!$O$20),"")</f>
        <v/>
      </c>
      <c r="AB17" s="52" t="str">
        <f>IF(AND('Mapa final'!$Y$15="Alta",'Mapa final'!$AA$15="Mayor"),CONCATENATE("R2C",'Mapa final'!$O$15),"")</f>
        <v/>
      </c>
      <c r="AC17" s="53" t="str">
        <f>IF(AND('Mapa final'!$Y$16="Alta",'Mapa final'!$AA$16="Mayor"),CONCATENATE("R2C",'Mapa final'!$O$16),"")</f>
        <v/>
      </c>
      <c r="AD17" s="53" t="str">
        <f>IF(AND('Mapa final'!$Y$17="Alta",'Mapa final'!$AA$17="Mayor"),CONCATENATE("R2C",'Mapa final'!$O$17),"")</f>
        <v/>
      </c>
      <c r="AE17" s="53" t="str">
        <f>IF(AND('Mapa final'!$Y$18="Alta",'Mapa final'!$AA$18="Mayor"),CONCATENATE("R2C",'Mapa final'!$O$18),"")</f>
        <v/>
      </c>
      <c r="AF17" s="53" t="str">
        <f>IF(AND('Mapa final'!$Y$19="Alta",'Mapa final'!$AA$19="Mayor"),CONCATENATE("R2C",'Mapa final'!$O$19),"")</f>
        <v/>
      </c>
      <c r="AG17" s="54" t="str">
        <f>IF(AND('Mapa final'!$Y$20="Alta",'Mapa final'!$AA$20="Mayor"),CONCATENATE("R2C",'Mapa final'!$O$20),"")</f>
        <v/>
      </c>
      <c r="AH17" s="55" t="str">
        <f>IF(AND('Mapa final'!$Y$15="Alta",'Mapa final'!$AA$15="Catastrófico"),CONCATENATE("R2C",'Mapa final'!$O$15),"")</f>
        <v/>
      </c>
      <c r="AI17" s="56" t="str">
        <f>IF(AND('Mapa final'!$Y$16="Alta",'Mapa final'!$AA$16="Catastrófico"),CONCATENATE("R2C",'Mapa final'!$O$16),"")</f>
        <v/>
      </c>
      <c r="AJ17" s="56" t="str">
        <f>IF(AND('Mapa final'!$Y$17="Alta",'Mapa final'!$AA$17="Catastrófico"),CONCATENATE("R2C",'Mapa final'!$O$17),"")</f>
        <v/>
      </c>
      <c r="AK17" s="56" t="str">
        <f>IF(AND('Mapa final'!$Y$18="Alta",'Mapa final'!$AA$18="Catastrófico"),CONCATENATE("R2C",'Mapa final'!$O$18),"")</f>
        <v/>
      </c>
      <c r="AL17" s="56" t="str">
        <f>IF(AND('Mapa final'!$Y$19="Alta",'Mapa final'!$AA$19="Catastrófico"),CONCATENATE("R2C",'Mapa final'!$O$19),"")</f>
        <v/>
      </c>
      <c r="AM17" s="57" t="str">
        <f>IF(AND('Mapa final'!$Y$20="Alta",'Mapa final'!$AA$20="Catastrófico"),CONCATENATE("R2C",'Mapa final'!$O$20),"")</f>
        <v/>
      </c>
      <c r="AN17" s="84"/>
      <c r="AO17" s="356"/>
      <c r="AP17" s="357"/>
      <c r="AQ17" s="357"/>
      <c r="AR17" s="357"/>
      <c r="AS17" s="357"/>
      <c r="AT17" s="358"/>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305"/>
      <c r="C18" s="305"/>
      <c r="D18" s="306"/>
      <c r="E18" s="346"/>
      <c r="F18" s="347"/>
      <c r="G18" s="347"/>
      <c r="H18" s="347"/>
      <c r="I18" s="363"/>
      <c r="J18" s="68" t="str">
        <f>IF(AND('Mapa final'!$Y$21="Alta",'Mapa final'!$AA$21="Leve"),CONCATENATE("R3C",'Mapa final'!$O$21),"")</f>
        <v/>
      </c>
      <c r="K18" s="69" t="str">
        <f>IF(AND('Mapa final'!$Y$22="Alta",'Mapa final'!$AA$22="Leve"),CONCATENATE("R3C",'Mapa final'!$O$22),"")</f>
        <v/>
      </c>
      <c r="L18" s="69" t="e">
        <f>IF(AND('Mapa final'!#REF!="Alta",'Mapa final'!#REF!="Leve"),CONCATENATE("R3C",'Mapa final'!#REF!),"")</f>
        <v>#REF!</v>
      </c>
      <c r="M18" s="69" t="e">
        <f>IF(AND('Mapa final'!#REF!="Alta",'Mapa final'!#REF!="Leve"),CONCATENATE("R3C",'Mapa final'!#REF!),"")</f>
        <v>#REF!</v>
      </c>
      <c r="N18" s="69" t="e">
        <f>IF(AND('Mapa final'!#REF!="Alta",'Mapa final'!#REF!="Leve"),CONCATENATE("R3C",'Mapa final'!#REF!),"")</f>
        <v>#REF!</v>
      </c>
      <c r="O18" s="70" t="e">
        <f>IF(AND('Mapa final'!#REF!="Alta",'Mapa final'!#REF!="Leve"),CONCATENATE("R3C",'Mapa final'!#REF!),"")</f>
        <v>#REF!</v>
      </c>
      <c r="P18" s="68" t="str">
        <f>IF(AND('Mapa final'!$Y$21="Alta",'Mapa final'!$AA$21="Menor"),CONCATENATE("R3C",'Mapa final'!$O$21),"")</f>
        <v/>
      </c>
      <c r="Q18" s="69" t="str">
        <f>IF(AND('Mapa final'!$Y$22="Alta",'Mapa final'!$AA$22="Menor"),CONCATENATE("R3C",'Mapa final'!$O$22),"")</f>
        <v/>
      </c>
      <c r="R18" s="69" t="e">
        <f>IF(AND('Mapa final'!#REF!="Alta",'Mapa final'!#REF!="Menor"),CONCATENATE("R3C",'Mapa final'!#REF!),"")</f>
        <v>#REF!</v>
      </c>
      <c r="S18" s="69" t="e">
        <f>IF(AND('Mapa final'!#REF!="Alta",'Mapa final'!#REF!="Menor"),CONCATENATE("R3C",'Mapa final'!#REF!),"")</f>
        <v>#REF!</v>
      </c>
      <c r="T18" s="69" t="e">
        <f>IF(AND('Mapa final'!#REF!="Alta",'Mapa final'!#REF!="Menor"),CONCATENATE("R3C",'Mapa final'!#REF!),"")</f>
        <v>#REF!</v>
      </c>
      <c r="U18" s="70" t="e">
        <f>IF(AND('Mapa final'!#REF!="Alta",'Mapa final'!#REF!="Menor"),CONCATENATE("R3C",'Mapa final'!#REF!),"")</f>
        <v>#REF!</v>
      </c>
      <c r="V18" s="52" t="str">
        <f>IF(AND('Mapa final'!$Y$21="Alta",'Mapa final'!$AA$21="Moderado"),CONCATENATE("R3C",'Mapa final'!$O$21),"")</f>
        <v>R3C1</v>
      </c>
      <c r="W18" s="53" t="str">
        <f>IF(AND('Mapa final'!$Y$22="Alta",'Mapa final'!$AA$22="Moderado"),CONCATENATE("R3C",'Mapa final'!$O$22),"")</f>
        <v/>
      </c>
      <c r="X18" s="53" t="e">
        <f>IF(AND('Mapa final'!#REF!="Alta",'Mapa final'!#REF!="Moderado"),CONCATENATE("R3C",'Mapa final'!#REF!),"")</f>
        <v>#REF!</v>
      </c>
      <c r="Y18" s="53" t="e">
        <f>IF(AND('Mapa final'!#REF!="Alta",'Mapa final'!#REF!="Moderado"),CONCATENATE("R3C",'Mapa final'!#REF!),"")</f>
        <v>#REF!</v>
      </c>
      <c r="Z18" s="53" t="e">
        <f>IF(AND('Mapa final'!#REF!="Alta",'Mapa final'!#REF!="Moderado"),CONCATENATE("R3C",'Mapa final'!#REF!),"")</f>
        <v>#REF!</v>
      </c>
      <c r="AA18" s="54" t="e">
        <f>IF(AND('Mapa final'!#REF!="Alta",'Mapa final'!#REF!="Moderado"),CONCATENATE("R3C",'Mapa final'!#REF!),"")</f>
        <v>#REF!</v>
      </c>
      <c r="AB18" s="52" t="str">
        <f>IF(AND('Mapa final'!$Y$21="Alta",'Mapa final'!$AA$21="Mayor"),CONCATENATE("R3C",'Mapa final'!$O$21),"")</f>
        <v/>
      </c>
      <c r="AC18" s="53" t="str">
        <f>IF(AND('Mapa final'!$Y$22="Alta",'Mapa final'!$AA$22="Mayor"),CONCATENATE("R3C",'Mapa final'!$O$22),"")</f>
        <v/>
      </c>
      <c r="AD18" s="53" t="e">
        <f>IF(AND('Mapa final'!#REF!="Alta",'Mapa final'!#REF!="Mayor"),CONCATENATE("R3C",'Mapa final'!#REF!),"")</f>
        <v>#REF!</v>
      </c>
      <c r="AE18" s="53" t="e">
        <f>IF(AND('Mapa final'!#REF!="Alta",'Mapa final'!#REF!="Mayor"),CONCATENATE("R3C",'Mapa final'!#REF!),"")</f>
        <v>#REF!</v>
      </c>
      <c r="AF18" s="53" t="e">
        <f>IF(AND('Mapa final'!#REF!="Alta",'Mapa final'!#REF!="Mayor"),CONCATENATE("R3C",'Mapa final'!#REF!),"")</f>
        <v>#REF!</v>
      </c>
      <c r="AG18" s="54" t="e">
        <f>IF(AND('Mapa final'!#REF!="Alta",'Mapa final'!#REF!="Mayor"),CONCATENATE("R3C",'Mapa final'!#REF!),"")</f>
        <v>#REF!</v>
      </c>
      <c r="AH18" s="55" t="str">
        <f>IF(AND('Mapa final'!$Y$21="Alta",'Mapa final'!$AA$21="Catastrófico"),CONCATENATE("R3C",'Mapa final'!$O$21),"")</f>
        <v/>
      </c>
      <c r="AI18" s="56" t="str">
        <f>IF(AND('Mapa final'!$Y$22="Alta",'Mapa final'!$AA$22="Catastrófico"),CONCATENATE("R3C",'Mapa final'!$O$22),"")</f>
        <v/>
      </c>
      <c r="AJ18" s="56" t="e">
        <f>IF(AND('Mapa final'!#REF!="Alta",'Mapa final'!#REF!="Catastrófico"),CONCATENATE("R3C",'Mapa final'!#REF!),"")</f>
        <v>#REF!</v>
      </c>
      <c r="AK18" s="56" t="e">
        <f>IF(AND('Mapa final'!#REF!="Alta",'Mapa final'!#REF!="Catastrófico"),CONCATENATE("R3C",'Mapa final'!#REF!),"")</f>
        <v>#REF!</v>
      </c>
      <c r="AL18" s="56" t="e">
        <f>IF(AND('Mapa final'!#REF!="Alta",'Mapa final'!#REF!="Catastrófico"),CONCATENATE("R3C",'Mapa final'!#REF!),"")</f>
        <v>#REF!</v>
      </c>
      <c r="AM18" s="57" t="e">
        <f>IF(AND('Mapa final'!#REF!="Alta",'Mapa final'!#REF!="Catastrófico"),CONCATENATE("R3C",'Mapa final'!#REF!),"")</f>
        <v>#REF!</v>
      </c>
      <c r="AN18" s="84"/>
      <c r="AO18" s="356"/>
      <c r="AP18" s="357"/>
      <c r="AQ18" s="357"/>
      <c r="AR18" s="357"/>
      <c r="AS18" s="357"/>
      <c r="AT18" s="358"/>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305"/>
      <c r="C19" s="305"/>
      <c r="D19" s="306"/>
      <c r="E19" s="346"/>
      <c r="F19" s="347"/>
      <c r="G19" s="347"/>
      <c r="H19" s="347"/>
      <c r="I19" s="363"/>
      <c r="J19" s="68" t="str">
        <f>IF(AND('Mapa final'!$Y$23="Alta",'Mapa final'!$AA$23="Leve"),CONCATENATE("R4C",'Mapa final'!$O$23),"")</f>
        <v/>
      </c>
      <c r="K19" s="69" t="str">
        <f>IF(AND('Mapa final'!$Y$24="Alta",'Mapa final'!$AA$24="Leve"),CONCATENATE("R4C",'Mapa final'!$O$24),"")</f>
        <v/>
      </c>
      <c r="L19" s="69" t="str">
        <f>IF(AND('Mapa final'!$Y$25="Alta",'Mapa final'!$AA$25="Leve"),CONCATENATE("R4C",'Mapa final'!$O$25),"")</f>
        <v/>
      </c>
      <c r="M19" s="69" t="str">
        <f>IF(AND('Mapa final'!$Y$26="Alta",'Mapa final'!$AA$26="Leve"),CONCATENATE("R4C",'Mapa final'!$O$26),"")</f>
        <v/>
      </c>
      <c r="N19" s="69" t="str">
        <f>IF(AND('Mapa final'!$Y$27="Alta",'Mapa final'!$AA$27="Leve"),CONCATENATE("R4C",'Mapa final'!$O$27),"")</f>
        <v/>
      </c>
      <c r="O19" s="70" t="str">
        <f>IF(AND('Mapa final'!$Y$28="Alta",'Mapa final'!$AA$28="Leve"),CONCATENATE("R4C",'Mapa final'!$O$28),"")</f>
        <v/>
      </c>
      <c r="P19" s="68" t="str">
        <f>IF(AND('Mapa final'!$Y$23="Alta",'Mapa final'!$AA$23="Menor"),CONCATENATE("R4C",'Mapa final'!$O$23),"")</f>
        <v/>
      </c>
      <c r="Q19" s="69" t="str">
        <f>IF(AND('Mapa final'!$Y$24="Alta",'Mapa final'!$AA$24="Menor"),CONCATENATE("R4C",'Mapa final'!$O$24),"")</f>
        <v/>
      </c>
      <c r="R19" s="69" t="str">
        <f>IF(AND('Mapa final'!$Y$25="Alta",'Mapa final'!$AA$25="Menor"),CONCATENATE("R4C",'Mapa final'!$O$25),"")</f>
        <v/>
      </c>
      <c r="S19" s="69" t="str">
        <f>IF(AND('Mapa final'!$Y$26="Alta",'Mapa final'!$AA$26="Menor"),CONCATENATE("R4C",'Mapa final'!$O$26),"")</f>
        <v/>
      </c>
      <c r="T19" s="69" t="str">
        <f>IF(AND('Mapa final'!$Y$27="Alta",'Mapa final'!$AA$27="Menor"),CONCATENATE("R4C",'Mapa final'!$O$27),"")</f>
        <v/>
      </c>
      <c r="U19" s="70" t="str">
        <f>IF(AND('Mapa final'!$Y$28="Alta",'Mapa final'!$AA$28="Menor"),CONCATENATE("R4C",'Mapa final'!$O$28),"")</f>
        <v/>
      </c>
      <c r="V19" s="52" t="str">
        <f>IF(AND('Mapa final'!$Y$23="Alta",'Mapa final'!$AA$23="Moderado"),CONCATENATE("R4C",'Mapa final'!$O$23),"")</f>
        <v/>
      </c>
      <c r="W19" s="53" t="str">
        <f>IF(AND('Mapa final'!$Y$24="Alta",'Mapa final'!$AA$24="Moderado"),CONCATENATE("R4C",'Mapa final'!$O$24),"")</f>
        <v/>
      </c>
      <c r="X19" s="58" t="str">
        <f>IF(AND('Mapa final'!$Y$25="Alta",'Mapa final'!$AA$25="Moderado"),CONCATENATE("R4C",'Mapa final'!$O$25),"")</f>
        <v/>
      </c>
      <c r="Y19" s="58" t="str">
        <f>IF(AND('Mapa final'!$Y$26="Alta",'Mapa final'!$AA$26="Moderado"),CONCATENATE("R4C",'Mapa final'!$O$26),"")</f>
        <v/>
      </c>
      <c r="Z19" s="58" t="str">
        <f>IF(AND('Mapa final'!$Y$27="Alta",'Mapa final'!$AA$27="Moderado"),CONCATENATE("R4C",'Mapa final'!$O$27),"")</f>
        <v/>
      </c>
      <c r="AA19" s="54" t="str">
        <f>IF(AND('Mapa final'!$Y$28="Alta",'Mapa final'!$AA$28="Moderado"),CONCATENATE("R4C",'Mapa final'!$O$28),"")</f>
        <v/>
      </c>
      <c r="AB19" s="52" t="str">
        <f>IF(AND('Mapa final'!$Y$23="Alta",'Mapa final'!$AA$23="Mayor"),CONCATENATE("R4C",'Mapa final'!$O$23),"")</f>
        <v/>
      </c>
      <c r="AC19" s="53" t="str">
        <f>IF(AND('Mapa final'!$Y$24="Alta",'Mapa final'!$AA$24="Mayor"),CONCATENATE("R4C",'Mapa final'!$O$24),"")</f>
        <v/>
      </c>
      <c r="AD19" s="58" t="str">
        <f>IF(AND('Mapa final'!$Y$25="Alta",'Mapa final'!$AA$25="Mayor"),CONCATENATE("R4C",'Mapa final'!$O$25),"")</f>
        <v/>
      </c>
      <c r="AE19" s="58" t="str">
        <f>IF(AND('Mapa final'!$Y$26="Alta",'Mapa final'!$AA$26="Mayor"),CONCATENATE("R4C",'Mapa final'!$O$26),"")</f>
        <v/>
      </c>
      <c r="AF19" s="58" t="str">
        <f>IF(AND('Mapa final'!$Y$27="Alta",'Mapa final'!$AA$27="Mayor"),CONCATENATE("R4C",'Mapa final'!$O$27),"")</f>
        <v/>
      </c>
      <c r="AG19" s="54" t="str">
        <f>IF(AND('Mapa final'!$Y$28="Alta",'Mapa final'!$AA$28="Mayor"),CONCATENATE("R4C",'Mapa final'!$O$28),"")</f>
        <v/>
      </c>
      <c r="AH19" s="55" t="str">
        <f>IF(AND('Mapa final'!$Y$23="Alta",'Mapa final'!$AA$23="Catastrófico"),CONCATENATE("R4C",'Mapa final'!$O$23),"")</f>
        <v/>
      </c>
      <c r="AI19" s="56" t="str">
        <f>IF(AND('Mapa final'!$Y$24="Alta",'Mapa final'!$AA$24="Catastrófico"),CONCATENATE("R4C",'Mapa final'!$O$24),"")</f>
        <v/>
      </c>
      <c r="AJ19" s="56" t="str">
        <f>IF(AND('Mapa final'!$Y$25="Alta",'Mapa final'!$AA$25="Catastrófico"),CONCATENATE("R4C",'Mapa final'!$O$25),"")</f>
        <v/>
      </c>
      <c r="AK19" s="56" t="str">
        <f>IF(AND('Mapa final'!$Y$26="Alta",'Mapa final'!$AA$26="Catastrófico"),CONCATENATE("R4C",'Mapa final'!$O$26),"")</f>
        <v/>
      </c>
      <c r="AL19" s="56" t="str">
        <f>IF(AND('Mapa final'!$Y$27="Alta",'Mapa final'!$AA$27="Catastrófico"),CONCATENATE("R4C",'Mapa final'!$O$27),"")</f>
        <v/>
      </c>
      <c r="AM19" s="57" t="str">
        <f>IF(AND('Mapa final'!$Y$28="Alta",'Mapa final'!$AA$28="Catastrófico"),CONCATENATE("R4C",'Mapa final'!$O$28),"")</f>
        <v/>
      </c>
      <c r="AN19" s="84"/>
      <c r="AO19" s="356"/>
      <c r="AP19" s="357"/>
      <c r="AQ19" s="357"/>
      <c r="AR19" s="357"/>
      <c r="AS19" s="357"/>
      <c r="AT19" s="358"/>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305"/>
      <c r="C20" s="305"/>
      <c r="D20" s="306"/>
      <c r="E20" s="346"/>
      <c r="F20" s="347"/>
      <c r="G20" s="347"/>
      <c r="H20" s="347"/>
      <c r="I20" s="363"/>
      <c r="J20" s="68" t="str">
        <f>IF(AND('Mapa final'!$Y$29="Alta",'Mapa final'!$AA$29="Leve"),CONCATENATE("R5C",'Mapa final'!$O$29),"")</f>
        <v/>
      </c>
      <c r="K20" s="69" t="str">
        <f>IF(AND('Mapa final'!$Y$30="Alta",'Mapa final'!$AA$30="Leve"),CONCATENATE("R5C",'Mapa final'!$O$30),"")</f>
        <v/>
      </c>
      <c r="L20" s="69" t="str">
        <f>IF(AND('Mapa final'!$Y$31="Alta",'Mapa final'!$AA$31="Leve"),CONCATENATE("R5C",'Mapa final'!$O$31),"")</f>
        <v/>
      </c>
      <c r="M20" s="69" t="str">
        <f>IF(AND('Mapa final'!$Y$32="Alta",'Mapa final'!$AA$32="Leve"),CONCATENATE("R5C",'Mapa final'!$O$32),"")</f>
        <v/>
      </c>
      <c r="N20" s="69" t="str">
        <f>IF(AND('Mapa final'!$Y$33="Alta",'Mapa final'!$AA$33="Leve"),CONCATENATE("R5C",'Mapa final'!$O$33),"")</f>
        <v/>
      </c>
      <c r="O20" s="70" t="str">
        <f>IF(AND('Mapa final'!$Y$34="Alta",'Mapa final'!$AA$34="Leve"),CONCATENATE("R5C",'Mapa final'!$O$34),"")</f>
        <v/>
      </c>
      <c r="P20" s="68" t="str">
        <f>IF(AND('Mapa final'!$Y$29="Alta",'Mapa final'!$AA$29="Menor"),CONCATENATE("R5C",'Mapa final'!$O$29),"")</f>
        <v/>
      </c>
      <c r="Q20" s="69" t="str">
        <f>IF(AND('Mapa final'!$Y$30="Alta",'Mapa final'!$AA$30="Menor"),CONCATENATE("R5C",'Mapa final'!$O$30),"")</f>
        <v/>
      </c>
      <c r="R20" s="69" t="str">
        <f>IF(AND('Mapa final'!$Y$31="Alta",'Mapa final'!$AA$31="Menor"),CONCATENATE("R5C",'Mapa final'!$O$31),"")</f>
        <v/>
      </c>
      <c r="S20" s="69" t="str">
        <f>IF(AND('Mapa final'!$Y$32="Alta",'Mapa final'!$AA$32="Menor"),CONCATENATE("R5C",'Mapa final'!$O$32),"")</f>
        <v/>
      </c>
      <c r="T20" s="69" t="str">
        <f>IF(AND('Mapa final'!$Y$33="Alta",'Mapa final'!$AA$33="Menor"),CONCATENATE("R5C",'Mapa final'!$O$33),"")</f>
        <v/>
      </c>
      <c r="U20" s="70" t="str">
        <f>IF(AND('Mapa final'!$Y$34="Alta",'Mapa final'!$AA$34="Menor"),CONCATENATE("R5C",'Mapa final'!$O$34),"")</f>
        <v/>
      </c>
      <c r="V20" s="52" t="str">
        <f>IF(AND('Mapa final'!$Y$29="Alta",'Mapa final'!$AA$29="Moderado"),CONCATENATE("R5C",'Mapa final'!$O$29),"")</f>
        <v/>
      </c>
      <c r="W20" s="53" t="str">
        <f>IF(AND('Mapa final'!$Y$30="Alta",'Mapa final'!$AA$30="Moderado"),CONCATENATE("R5C",'Mapa final'!$O$30),"")</f>
        <v/>
      </c>
      <c r="X20" s="58" t="str">
        <f>IF(AND('Mapa final'!$Y$31="Alta",'Mapa final'!$AA$31="Moderado"),CONCATENATE("R5C",'Mapa final'!$O$31),"")</f>
        <v/>
      </c>
      <c r="Y20" s="58" t="str">
        <f>IF(AND('Mapa final'!$Y$32="Alta",'Mapa final'!$AA$32="Moderado"),CONCATENATE("R5C",'Mapa final'!$O$32),"")</f>
        <v/>
      </c>
      <c r="Z20" s="58" t="str">
        <f>IF(AND('Mapa final'!$Y$33="Alta",'Mapa final'!$AA$33="Moderado"),CONCATENATE("R5C",'Mapa final'!$O$33),"")</f>
        <v/>
      </c>
      <c r="AA20" s="54" t="str">
        <f>IF(AND('Mapa final'!$Y$34="Alta",'Mapa final'!$AA$34="Moderado"),CONCATENATE("R5C",'Mapa final'!$O$34),"")</f>
        <v/>
      </c>
      <c r="AB20" s="52" t="str">
        <f>IF(AND('Mapa final'!$Y$29="Alta",'Mapa final'!$AA$29="Mayor"),CONCATENATE("R5C",'Mapa final'!$O$29),"")</f>
        <v/>
      </c>
      <c r="AC20" s="53" t="str">
        <f>IF(AND('Mapa final'!$Y$30="Alta",'Mapa final'!$AA$30="Mayor"),CONCATENATE("R5C",'Mapa final'!$O$30),"")</f>
        <v/>
      </c>
      <c r="AD20" s="58" t="str">
        <f>IF(AND('Mapa final'!$Y$31="Alta",'Mapa final'!$AA$31="Mayor"),CONCATENATE("R5C",'Mapa final'!$O$31),"")</f>
        <v/>
      </c>
      <c r="AE20" s="58" t="str">
        <f>IF(AND('Mapa final'!$Y$32="Alta",'Mapa final'!$AA$32="Mayor"),CONCATENATE("R5C",'Mapa final'!$O$32),"")</f>
        <v/>
      </c>
      <c r="AF20" s="58" t="str">
        <f>IF(AND('Mapa final'!$Y$33="Alta",'Mapa final'!$AA$33="Mayor"),CONCATENATE("R5C",'Mapa final'!$O$33),"")</f>
        <v/>
      </c>
      <c r="AG20" s="54" t="str">
        <f>IF(AND('Mapa final'!$Y$34="Alta",'Mapa final'!$AA$34="Mayor"),CONCATENATE("R5C",'Mapa final'!$O$34),"")</f>
        <v/>
      </c>
      <c r="AH20" s="55" t="str">
        <f>IF(AND('Mapa final'!$Y$29="Alta",'Mapa final'!$AA$29="Catastrófico"),CONCATENATE("R5C",'Mapa final'!$O$29),"")</f>
        <v/>
      </c>
      <c r="AI20" s="56" t="str">
        <f>IF(AND('Mapa final'!$Y$30="Alta",'Mapa final'!$AA$30="Catastrófico"),CONCATENATE("R5C",'Mapa final'!$O$30),"")</f>
        <v/>
      </c>
      <c r="AJ20" s="56" t="str">
        <f>IF(AND('Mapa final'!$Y$31="Alta",'Mapa final'!$AA$31="Catastrófico"),CONCATENATE("R5C",'Mapa final'!$O$31),"")</f>
        <v/>
      </c>
      <c r="AK20" s="56" t="str">
        <f>IF(AND('Mapa final'!$Y$32="Alta",'Mapa final'!$AA$32="Catastrófico"),CONCATENATE("R5C",'Mapa final'!$O$32),"")</f>
        <v/>
      </c>
      <c r="AL20" s="56" t="str">
        <f>IF(AND('Mapa final'!$Y$33="Alta",'Mapa final'!$AA$33="Catastrófico"),CONCATENATE("R5C",'Mapa final'!$O$33),"")</f>
        <v/>
      </c>
      <c r="AM20" s="57" t="str">
        <f>IF(AND('Mapa final'!$Y$34="Alta",'Mapa final'!$AA$34="Catastrófico"),CONCATENATE("R5C",'Mapa final'!$O$34),"")</f>
        <v/>
      </c>
      <c r="AN20" s="84"/>
      <c r="AO20" s="356"/>
      <c r="AP20" s="357"/>
      <c r="AQ20" s="357"/>
      <c r="AR20" s="357"/>
      <c r="AS20" s="357"/>
      <c r="AT20" s="358"/>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305"/>
      <c r="C21" s="305"/>
      <c r="D21" s="306"/>
      <c r="E21" s="346"/>
      <c r="F21" s="347"/>
      <c r="G21" s="347"/>
      <c r="H21" s="347"/>
      <c r="I21" s="363"/>
      <c r="J21" s="68" t="str">
        <f>IF(AND('Mapa final'!$Y$35="Alta",'Mapa final'!$AA$35="Leve"),CONCATENATE("R6C",'Mapa final'!$O$35),"")</f>
        <v/>
      </c>
      <c r="K21" s="69" t="str">
        <f>IF(AND('Mapa final'!$Y$36="Alta",'Mapa final'!$AA$36="Leve"),CONCATENATE("R6C",'Mapa final'!$O$36),"")</f>
        <v/>
      </c>
      <c r="L21" s="69" t="str">
        <f>IF(AND('Mapa final'!$Y$37="Alta",'Mapa final'!$AA$37="Leve"),CONCATENATE("R6C",'Mapa final'!$O$37),"")</f>
        <v/>
      </c>
      <c r="M21" s="69" t="str">
        <f>IF(AND('Mapa final'!$Y$38="Alta",'Mapa final'!$AA$38="Leve"),CONCATENATE("R6C",'Mapa final'!$O$38),"")</f>
        <v/>
      </c>
      <c r="N21" s="69" t="str">
        <f>IF(AND('Mapa final'!$Y$39="Alta",'Mapa final'!$AA$39="Leve"),CONCATENATE("R6C",'Mapa final'!$O$39),"")</f>
        <v/>
      </c>
      <c r="O21" s="70" t="str">
        <f>IF(AND('Mapa final'!$Y$40="Alta",'Mapa final'!$AA$40="Leve"),CONCATENATE("R6C",'Mapa final'!$O$40),"")</f>
        <v/>
      </c>
      <c r="P21" s="68" t="str">
        <f>IF(AND('Mapa final'!$Y$35="Alta",'Mapa final'!$AA$35="Menor"),CONCATENATE("R6C",'Mapa final'!$O$35),"")</f>
        <v/>
      </c>
      <c r="Q21" s="69" t="str">
        <f>IF(AND('Mapa final'!$Y$36="Alta",'Mapa final'!$AA$36="Menor"),CONCATENATE("R6C",'Mapa final'!$O$36),"")</f>
        <v/>
      </c>
      <c r="R21" s="69" t="str">
        <f>IF(AND('Mapa final'!$Y$37="Alta",'Mapa final'!$AA$37="Menor"),CONCATENATE("R6C",'Mapa final'!$O$37),"")</f>
        <v/>
      </c>
      <c r="S21" s="69" t="str">
        <f>IF(AND('Mapa final'!$Y$38="Alta",'Mapa final'!$AA$38="Menor"),CONCATENATE("R6C",'Mapa final'!$O$38),"")</f>
        <v/>
      </c>
      <c r="T21" s="69" t="str">
        <f>IF(AND('Mapa final'!$Y$39="Alta",'Mapa final'!$AA$39="Menor"),CONCATENATE("R6C",'Mapa final'!$O$39),"")</f>
        <v/>
      </c>
      <c r="U21" s="70" t="str">
        <f>IF(AND('Mapa final'!$Y$40="Alta",'Mapa final'!$AA$40="Menor"),CONCATENATE("R6C",'Mapa final'!$O$40),"")</f>
        <v/>
      </c>
      <c r="V21" s="52" t="str">
        <f>IF(AND('Mapa final'!$Y$35="Alta",'Mapa final'!$AA$35="Moderado"),CONCATENATE("R6C",'Mapa final'!$O$35),"")</f>
        <v/>
      </c>
      <c r="W21" s="53" t="str">
        <f>IF(AND('Mapa final'!$Y$36="Alta",'Mapa final'!$AA$36="Moderado"),CONCATENATE("R6C",'Mapa final'!$O$36),"")</f>
        <v/>
      </c>
      <c r="X21" s="58" t="str">
        <f>IF(AND('Mapa final'!$Y$37="Alta",'Mapa final'!$AA$37="Moderado"),CONCATENATE("R6C",'Mapa final'!$O$37),"")</f>
        <v/>
      </c>
      <c r="Y21" s="58" t="str">
        <f>IF(AND('Mapa final'!$Y$38="Alta",'Mapa final'!$AA$38="Moderado"),CONCATENATE("R6C",'Mapa final'!$O$38),"")</f>
        <v/>
      </c>
      <c r="Z21" s="58" t="str">
        <f>IF(AND('Mapa final'!$Y$39="Alta",'Mapa final'!$AA$39="Moderado"),CONCATENATE("R6C",'Mapa final'!$O$39),"")</f>
        <v/>
      </c>
      <c r="AA21" s="54" t="str">
        <f>IF(AND('Mapa final'!$Y$40="Alta",'Mapa final'!$AA$40="Moderado"),CONCATENATE("R6C",'Mapa final'!$O$40),"")</f>
        <v/>
      </c>
      <c r="AB21" s="52" t="str">
        <f>IF(AND('Mapa final'!$Y$35="Alta",'Mapa final'!$AA$35="Mayor"),CONCATENATE("R6C",'Mapa final'!$O$35),"")</f>
        <v/>
      </c>
      <c r="AC21" s="53" t="str">
        <f>IF(AND('Mapa final'!$Y$36="Alta",'Mapa final'!$AA$36="Mayor"),CONCATENATE("R6C",'Mapa final'!$O$36),"")</f>
        <v/>
      </c>
      <c r="AD21" s="58" t="str">
        <f>IF(AND('Mapa final'!$Y$37="Alta",'Mapa final'!$AA$37="Mayor"),CONCATENATE("R6C",'Mapa final'!$O$37),"")</f>
        <v/>
      </c>
      <c r="AE21" s="58" t="str">
        <f>IF(AND('Mapa final'!$Y$38="Alta",'Mapa final'!$AA$38="Mayor"),CONCATENATE("R6C",'Mapa final'!$O$38),"")</f>
        <v/>
      </c>
      <c r="AF21" s="58" t="str">
        <f>IF(AND('Mapa final'!$Y$39="Alta",'Mapa final'!$AA$39="Mayor"),CONCATENATE("R6C",'Mapa final'!$O$39),"")</f>
        <v/>
      </c>
      <c r="AG21" s="54" t="str">
        <f>IF(AND('Mapa final'!$Y$40="Alta",'Mapa final'!$AA$40="Mayor"),CONCATENATE("R6C",'Mapa final'!$O$40),"")</f>
        <v/>
      </c>
      <c r="AH21" s="55" t="str">
        <f>IF(AND('Mapa final'!$Y$35="Alta",'Mapa final'!$AA$35="Catastrófico"),CONCATENATE("R6C",'Mapa final'!$O$35),"")</f>
        <v/>
      </c>
      <c r="AI21" s="56" t="str">
        <f>IF(AND('Mapa final'!$Y$36="Alta",'Mapa final'!$AA$36="Catastrófico"),CONCATENATE("R6C",'Mapa final'!$O$36),"")</f>
        <v/>
      </c>
      <c r="AJ21" s="56" t="str">
        <f>IF(AND('Mapa final'!$Y$37="Alta",'Mapa final'!$AA$37="Catastrófico"),CONCATENATE("R6C",'Mapa final'!$O$37),"")</f>
        <v/>
      </c>
      <c r="AK21" s="56" t="str">
        <f>IF(AND('Mapa final'!$Y$38="Alta",'Mapa final'!$AA$38="Catastrófico"),CONCATENATE("R6C",'Mapa final'!$O$38),"")</f>
        <v/>
      </c>
      <c r="AL21" s="56" t="str">
        <f>IF(AND('Mapa final'!$Y$39="Alta",'Mapa final'!$AA$39="Catastrófico"),CONCATENATE("R6C",'Mapa final'!$O$39),"")</f>
        <v/>
      </c>
      <c r="AM21" s="57" t="str">
        <f>IF(AND('Mapa final'!$Y$40="Alta",'Mapa final'!$AA$40="Catastrófico"),CONCATENATE("R6C",'Mapa final'!$O$40),"")</f>
        <v/>
      </c>
      <c r="AN21" s="84"/>
      <c r="AO21" s="356"/>
      <c r="AP21" s="357"/>
      <c r="AQ21" s="357"/>
      <c r="AR21" s="357"/>
      <c r="AS21" s="357"/>
      <c r="AT21" s="35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305"/>
      <c r="C22" s="305"/>
      <c r="D22" s="306"/>
      <c r="E22" s="346"/>
      <c r="F22" s="347"/>
      <c r="G22" s="347"/>
      <c r="H22" s="347"/>
      <c r="I22" s="363"/>
      <c r="J22" s="68" t="str">
        <f>IF(AND('Mapa final'!$Y$41="Alta",'Mapa final'!$AA$41="Leve"),CONCATENATE("R7C",'Mapa final'!$O$41),"")</f>
        <v/>
      </c>
      <c r="K22" s="69" t="str">
        <f>IF(AND('Mapa final'!$Y$42="Alta",'Mapa final'!$AA$42="Leve"),CONCATENATE("R7C",'Mapa final'!$O$42),"")</f>
        <v/>
      </c>
      <c r="L22" s="69" t="str">
        <f>IF(AND('Mapa final'!$Y$43="Alta",'Mapa final'!$AA$43="Leve"),CONCATENATE("R7C",'Mapa final'!$O$43),"")</f>
        <v/>
      </c>
      <c r="M22" s="69" t="str">
        <f>IF(AND('Mapa final'!$Y$44="Alta",'Mapa final'!$AA$44="Leve"),CONCATENATE("R7C",'Mapa final'!$O$44),"")</f>
        <v/>
      </c>
      <c r="N22" s="69" t="str">
        <f>IF(AND('Mapa final'!$Y$45="Alta",'Mapa final'!$AA$45="Leve"),CONCATENATE("R7C",'Mapa final'!$O$45),"")</f>
        <v/>
      </c>
      <c r="O22" s="70" t="str">
        <f>IF(AND('Mapa final'!$Y$46="Alta",'Mapa final'!$AA$46="Leve"),CONCATENATE("R7C",'Mapa final'!$O$46),"")</f>
        <v/>
      </c>
      <c r="P22" s="68" t="str">
        <f>IF(AND('Mapa final'!$Y$41="Alta",'Mapa final'!$AA$41="Menor"),CONCATENATE("R7C",'Mapa final'!$O$41),"")</f>
        <v/>
      </c>
      <c r="Q22" s="69" t="str">
        <f>IF(AND('Mapa final'!$Y$42="Alta",'Mapa final'!$AA$42="Menor"),CONCATENATE("R7C",'Mapa final'!$O$42),"")</f>
        <v/>
      </c>
      <c r="R22" s="69" t="str">
        <f>IF(AND('Mapa final'!$Y$43="Alta",'Mapa final'!$AA$43="Menor"),CONCATENATE("R7C",'Mapa final'!$O$43),"")</f>
        <v/>
      </c>
      <c r="S22" s="69" t="str">
        <f>IF(AND('Mapa final'!$Y$44="Alta",'Mapa final'!$AA$44="Menor"),CONCATENATE("R7C",'Mapa final'!$O$44),"")</f>
        <v/>
      </c>
      <c r="T22" s="69" t="str">
        <f>IF(AND('Mapa final'!$Y$45="Alta",'Mapa final'!$AA$45="Menor"),CONCATENATE("R7C",'Mapa final'!$O$45),"")</f>
        <v/>
      </c>
      <c r="U22" s="70" t="str">
        <f>IF(AND('Mapa final'!$Y$46="Alta",'Mapa final'!$AA$46="Menor"),CONCATENATE("R7C",'Mapa final'!$O$46),"")</f>
        <v/>
      </c>
      <c r="V22" s="52" t="str">
        <f>IF(AND('Mapa final'!$Y$41="Alta",'Mapa final'!$AA$41="Moderado"),CONCATENATE("R7C",'Mapa final'!$O$41),"")</f>
        <v/>
      </c>
      <c r="W22" s="53" t="str">
        <f>IF(AND('Mapa final'!$Y$42="Alta",'Mapa final'!$AA$42="Moderado"),CONCATENATE("R7C",'Mapa final'!$O$42),"")</f>
        <v/>
      </c>
      <c r="X22" s="58" t="str">
        <f>IF(AND('Mapa final'!$Y$43="Alta",'Mapa final'!$AA$43="Moderado"),CONCATENATE("R7C",'Mapa final'!$O$43),"")</f>
        <v/>
      </c>
      <c r="Y22" s="58" t="str">
        <f>IF(AND('Mapa final'!$Y$44="Alta",'Mapa final'!$AA$44="Moderado"),CONCATENATE("R7C",'Mapa final'!$O$44),"")</f>
        <v/>
      </c>
      <c r="Z22" s="58" t="str">
        <f>IF(AND('Mapa final'!$Y$45="Alta",'Mapa final'!$AA$45="Moderado"),CONCATENATE("R7C",'Mapa final'!$O$45),"")</f>
        <v/>
      </c>
      <c r="AA22" s="54" t="str">
        <f>IF(AND('Mapa final'!$Y$46="Alta",'Mapa final'!$AA$46="Moderado"),CONCATENATE("R7C",'Mapa final'!$O$46),"")</f>
        <v/>
      </c>
      <c r="AB22" s="52" t="str">
        <f>IF(AND('Mapa final'!$Y$41="Alta",'Mapa final'!$AA$41="Mayor"),CONCATENATE("R7C",'Mapa final'!$O$41),"")</f>
        <v/>
      </c>
      <c r="AC22" s="53" t="str">
        <f>IF(AND('Mapa final'!$Y$42="Alta",'Mapa final'!$AA$42="Mayor"),CONCATENATE("R7C",'Mapa final'!$O$42),"")</f>
        <v/>
      </c>
      <c r="AD22" s="58" t="str">
        <f>IF(AND('Mapa final'!$Y$43="Alta",'Mapa final'!$AA$43="Mayor"),CONCATENATE("R7C",'Mapa final'!$O$43),"")</f>
        <v/>
      </c>
      <c r="AE22" s="58" t="str">
        <f>IF(AND('Mapa final'!$Y$44="Alta",'Mapa final'!$AA$44="Mayor"),CONCATENATE("R7C",'Mapa final'!$O$44),"")</f>
        <v/>
      </c>
      <c r="AF22" s="58" t="str">
        <f>IF(AND('Mapa final'!$Y$45="Alta",'Mapa final'!$AA$45="Mayor"),CONCATENATE("R7C",'Mapa final'!$O$45),"")</f>
        <v/>
      </c>
      <c r="AG22" s="54" t="str">
        <f>IF(AND('Mapa final'!$Y$46="Alta",'Mapa final'!$AA$46="Mayor"),CONCATENATE("R7C",'Mapa final'!$O$46),"")</f>
        <v/>
      </c>
      <c r="AH22" s="55" t="str">
        <f>IF(AND('Mapa final'!$Y$41="Alta",'Mapa final'!$AA$41="Catastrófico"),CONCATENATE("R7C",'Mapa final'!$O$41),"")</f>
        <v/>
      </c>
      <c r="AI22" s="56" t="str">
        <f>IF(AND('Mapa final'!$Y$42="Alta",'Mapa final'!$AA$42="Catastrófico"),CONCATENATE("R7C",'Mapa final'!$O$42),"")</f>
        <v/>
      </c>
      <c r="AJ22" s="56" t="str">
        <f>IF(AND('Mapa final'!$Y$43="Alta",'Mapa final'!$AA$43="Catastrófico"),CONCATENATE("R7C",'Mapa final'!$O$43),"")</f>
        <v/>
      </c>
      <c r="AK22" s="56" t="str">
        <f>IF(AND('Mapa final'!$Y$44="Alta",'Mapa final'!$AA$44="Catastrófico"),CONCATENATE("R7C",'Mapa final'!$O$44),"")</f>
        <v/>
      </c>
      <c r="AL22" s="56" t="str">
        <f>IF(AND('Mapa final'!$Y$45="Alta",'Mapa final'!$AA$45="Catastrófico"),CONCATENATE("R7C",'Mapa final'!$O$45),"")</f>
        <v/>
      </c>
      <c r="AM22" s="57" t="str">
        <f>IF(AND('Mapa final'!$Y$46="Alta",'Mapa final'!$AA$46="Catastrófico"),CONCATENATE("R7C",'Mapa final'!$O$46),"")</f>
        <v/>
      </c>
      <c r="AN22" s="84"/>
      <c r="AO22" s="356"/>
      <c r="AP22" s="357"/>
      <c r="AQ22" s="357"/>
      <c r="AR22" s="357"/>
      <c r="AS22" s="357"/>
      <c r="AT22" s="358"/>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305"/>
      <c r="C23" s="305"/>
      <c r="D23" s="306"/>
      <c r="E23" s="346"/>
      <c r="F23" s="347"/>
      <c r="G23" s="347"/>
      <c r="H23" s="347"/>
      <c r="I23" s="363"/>
      <c r="J23" s="68" t="str">
        <f>IF(AND('Mapa final'!$Y$47="Alta",'Mapa final'!$AA$47="Leve"),CONCATENATE("R8C",'Mapa final'!$O$47),"")</f>
        <v/>
      </c>
      <c r="K23" s="69" t="str">
        <f>IF(AND('Mapa final'!$Y$48="Alta",'Mapa final'!$AA$48="Leve"),CONCATENATE("R8C",'Mapa final'!$O$48),"")</f>
        <v/>
      </c>
      <c r="L23" s="69" t="str">
        <f>IF(AND('Mapa final'!$Y$49="Alta",'Mapa final'!$AA$49="Leve"),CONCATENATE("R8C",'Mapa final'!$O$49),"")</f>
        <v/>
      </c>
      <c r="M23" s="69" t="str">
        <f>IF(AND('Mapa final'!$Y$50="Alta",'Mapa final'!$AA$50="Leve"),CONCATENATE("R8C",'Mapa final'!$O$50),"")</f>
        <v/>
      </c>
      <c r="N23" s="69" t="str">
        <f>IF(AND('Mapa final'!$Y$51="Alta",'Mapa final'!$AA$51="Leve"),CONCATENATE("R8C",'Mapa final'!$O$51),"")</f>
        <v/>
      </c>
      <c r="O23" s="70" t="str">
        <f>IF(AND('Mapa final'!$Y$52="Alta",'Mapa final'!$AA$52="Leve"),CONCATENATE("R8C",'Mapa final'!$O$52),"")</f>
        <v/>
      </c>
      <c r="P23" s="68" t="str">
        <f>IF(AND('Mapa final'!$Y$47="Alta",'Mapa final'!$AA$47="Menor"),CONCATENATE("R8C",'Mapa final'!$O$47),"")</f>
        <v/>
      </c>
      <c r="Q23" s="69" t="str">
        <f>IF(AND('Mapa final'!$Y$48="Alta",'Mapa final'!$AA$48="Menor"),CONCATENATE("R8C",'Mapa final'!$O$48),"")</f>
        <v/>
      </c>
      <c r="R23" s="69" t="str">
        <f>IF(AND('Mapa final'!$Y$49="Alta",'Mapa final'!$AA$49="Menor"),CONCATENATE("R8C",'Mapa final'!$O$49),"")</f>
        <v/>
      </c>
      <c r="S23" s="69" t="str">
        <f>IF(AND('Mapa final'!$Y$50="Alta",'Mapa final'!$AA$50="Menor"),CONCATENATE("R8C",'Mapa final'!$O$50),"")</f>
        <v/>
      </c>
      <c r="T23" s="69" t="str">
        <f>IF(AND('Mapa final'!$Y$51="Alta",'Mapa final'!$AA$51="Menor"),CONCATENATE("R8C",'Mapa final'!$O$51),"")</f>
        <v/>
      </c>
      <c r="U23" s="70" t="str">
        <f>IF(AND('Mapa final'!$Y$52="Alta",'Mapa final'!$AA$52="Menor"),CONCATENATE("R8C",'Mapa final'!$O$52),"")</f>
        <v/>
      </c>
      <c r="V23" s="52" t="str">
        <f>IF(AND('Mapa final'!$Y$47="Alta",'Mapa final'!$AA$47="Moderado"),CONCATENATE("R8C",'Mapa final'!$O$47),"")</f>
        <v/>
      </c>
      <c r="W23" s="53" t="str">
        <f>IF(AND('Mapa final'!$Y$48="Alta",'Mapa final'!$AA$48="Moderado"),CONCATENATE("R8C",'Mapa final'!$O$48),"")</f>
        <v/>
      </c>
      <c r="X23" s="58" t="str">
        <f>IF(AND('Mapa final'!$Y$49="Alta",'Mapa final'!$AA$49="Moderado"),CONCATENATE("R8C",'Mapa final'!$O$49),"")</f>
        <v/>
      </c>
      <c r="Y23" s="58" t="str">
        <f>IF(AND('Mapa final'!$Y$50="Alta",'Mapa final'!$AA$50="Moderado"),CONCATENATE("R8C",'Mapa final'!$O$50),"")</f>
        <v/>
      </c>
      <c r="Z23" s="58" t="str">
        <f>IF(AND('Mapa final'!$Y$51="Alta",'Mapa final'!$AA$51="Moderado"),CONCATENATE("R8C",'Mapa final'!$O$51),"")</f>
        <v/>
      </c>
      <c r="AA23" s="54" t="str">
        <f>IF(AND('Mapa final'!$Y$52="Alta",'Mapa final'!$AA$52="Moderado"),CONCATENATE("R8C",'Mapa final'!$O$52),"")</f>
        <v/>
      </c>
      <c r="AB23" s="52" t="str">
        <f>IF(AND('Mapa final'!$Y$47="Alta",'Mapa final'!$AA$47="Mayor"),CONCATENATE("R8C",'Mapa final'!$O$47),"")</f>
        <v/>
      </c>
      <c r="AC23" s="53" t="str">
        <f>IF(AND('Mapa final'!$Y$48="Alta",'Mapa final'!$AA$48="Mayor"),CONCATENATE("R8C",'Mapa final'!$O$48),"")</f>
        <v/>
      </c>
      <c r="AD23" s="58" t="str">
        <f>IF(AND('Mapa final'!$Y$49="Alta",'Mapa final'!$AA$49="Mayor"),CONCATENATE("R8C",'Mapa final'!$O$49),"")</f>
        <v/>
      </c>
      <c r="AE23" s="58" t="str">
        <f>IF(AND('Mapa final'!$Y$50="Alta",'Mapa final'!$AA$50="Mayor"),CONCATENATE("R8C",'Mapa final'!$O$50),"")</f>
        <v/>
      </c>
      <c r="AF23" s="58" t="str">
        <f>IF(AND('Mapa final'!$Y$51="Alta",'Mapa final'!$AA$51="Mayor"),CONCATENATE("R8C",'Mapa final'!$O$51),"")</f>
        <v/>
      </c>
      <c r="AG23" s="54" t="str">
        <f>IF(AND('Mapa final'!$Y$52="Alta",'Mapa final'!$AA$52="Mayor"),CONCATENATE("R8C",'Mapa final'!$O$52),"")</f>
        <v/>
      </c>
      <c r="AH23" s="55" t="str">
        <f>IF(AND('Mapa final'!$Y$47="Alta",'Mapa final'!$AA$47="Catastrófico"),CONCATENATE("R8C",'Mapa final'!$O$47),"")</f>
        <v/>
      </c>
      <c r="AI23" s="56" t="str">
        <f>IF(AND('Mapa final'!$Y$48="Alta",'Mapa final'!$AA$48="Catastrófico"),CONCATENATE("R8C",'Mapa final'!$O$48),"")</f>
        <v/>
      </c>
      <c r="AJ23" s="56" t="str">
        <f>IF(AND('Mapa final'!$Y$49="Alta",'Mapa final'!$AA$49="Catastrófico"),CONCATENATE("R8C",'Mapa final'!$O$49),"")</f>
        <v/>
      </c>
      <c r="AK23" s="56" t="str">
        <f>IF(AND('Mapa final'!$Y$50="Alta",'Mapa final'!$AA$50="Catastrófico"),CONCATENATE("R8C",'Mapa final'!$O$50),"")</f>
        <v/>
      </c>
      <c r="AL23" s="56" t="str">
        <f>IF(AND('Mapa final'!$Y$51="Alta",'Mapa final'!$AA$51="Catastrófico"),CONCATENATE("R8C",'Mapa final'!$O$51),"")</f>
        <v/>
      </c>
      <c r="AM23" s="57" t="str">
        <f>IF(AND('Mapa final'!$Y$52="Alta",'Mapa final'!$AA$52="Catastrófico"),CONCATENATE("R8C",'Mapa final'!$O$52),"")</f>
        <v/>
      </c>
      <c r="AN23" s="84"/>
      <c r="AO23" s="356"/>
      <c r="AP23" s="357"/>
      <c r="AQ23" s="357"/>
      <c r="AR23" s="357"/>
      <c r="AS23" s="357"/>
      <c r="AT23" s="358"/>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305"/>
      <c r="C24" s="305"/>
      <c r="D24" s="306"/>
      <c r="E24" s="346"/>
      <c r="F24" s="347"/>
      <c r="G24" s="347"/>
      <c r="H24" s="347"/>
      <c r="I24" s="363"/>
      <c r="J24" s="68" t="str">
        <f>IF(AND('Mapa final'!$Y$53="Alta",'Mapa final'!$AA$53="Leve"),CONCATENATE("R9C",'Mapa final'!$O$53),"")</f>
        <v/>
      </c>
      <c r="K24" s="69" t="str">
        <f>IF(AND('Mapa final'!$Y$54="Alta",'Mapa final'!$AA$54="Leve"),CONCATENATE("R9C",'Mapa final'!$O$54),"")</f>
        <v/>
      </c>
      <c r="L24" s="69" t="str">
        <f>IF(AND('Mapa final'!$Y$55="Alta",'Mapa final'!$AA$55="Leve"),CONCATENATE("R9C",'Mapa final'!$O$55),"")</f>
        <v/>
      </c>
      <c r="M24" s="69" t="str">
        <f>IF(AND('Mapa final'!$Y$56="Alta",'Mapa final'!$AA$56="Leve"),CONCATENATE("R9C",'Mapa final'!$O$56),"")</f>
        <v/>
      </c>
      <c r="N24" s="69" t="str">
        <f>IF(AND('Mapa final'!$Y$57="Alta",'Mapa final'!$AA$57="Leve"),CONCATENATE("R9C",'Mapa final'!$O$57),"")</f>
        <v/>
      </c>
      <c r="O24" s="70" t="str">
        <f>IF(AND('Mapa final'!$Y$58="Alta",'Mapa final'!$AA$58="Leve"),CONCATENATE("R9C",'Mapa final'!$O$58),"")</f>
        <v/>
      </c>
      <c r="P24" s="68" t="str">
        <f>IF(AND('Mapa final'!$Y$53="Alta",'Mapa final'!$AA$53="Menor"),CONCATENATE("R9C",'Mapa final'!$O$53),"")</f>
        <v/>
      </c>
      <c r="Q24" s="69" t="str">
        <f>IF(AND('Mapa final'!$Y$54="Alta",'Mapa final'!$AA$54="Menor"),CONCATENATE("R9C",'Mapa final'!$O$54),"")</f>
        <v/>
      </c>
      <c r="R24" s="69" t="str">
        <f>IF(AND('Mapa final'!$Y$55="Alta",'Mapa final'!$AA$55="Menor"),CONCATENATE("R9C",'Mapa final'!$O$55),"")</f>
        <v/>
      </c>
      <c r="S24" s="69" t="str">
        <f>IF(AND('Mapa final'!$Y$56="Alta",'Mapa final'!$AA$56="Menor"),CONCATENATE("R9C",'Mapa final'!$O$56),"")</f>
        <v/>
      </c>
      <c r="T24" s="69" t="str">
        <f>IF(AND('Mapa final'!$Y$57="Alta",'Mapa final'!$AA$57="Menor"),CONCATENATE("R9C",'Mapa final'!$O$57),"")</f>
        <v/>
      </c>
      <c r="U24" s="70" t="str">
        <f>IF(AND('Mapa final'!$Y$58="Alta",'Mapa final'!$AA$58="Menor"),CONCATENATE("R9C",'Mapa final'!$O$58),"")</f>
        <v/>
      </c>
      <c r="V24" s="52" t="str">
        <f>IF(AND('Mapa final'!$Y$53="Alta",'Mapa final'!$AA$53="Moderado"),CONCATENATE("R9C",'Mapa final'!$O$53),"")</f>
        <v/>
      </c>
      <c r="W24" s="53" t="str">
        <f>IF(AND('Mapa final'!$Y$54="Alta",'Mapa final'!$AA$54="Moderado"),CONCATENATE("R9C",'Mapa final'!$O$54),"")</f>
        <v/>
      </c>
      <c r="X24" s="58" t="str">
        <f>IF(AND('Mapa final'!$Y$55="Alta",'Mapa final'!$AA$55="Moderado"),CONCATENATE("R9C",'Mapa final'!$O$55),"")</f>
        <v/>
      </c>
      <c r="Y24" s="58" t="str">
        <f>IF(AND('Mapa final'!$Y$56="Alta",'Mapa final'!$AA$56="Moderado"),CONCATENATE("R9C",'Mapa final'!$O$56),"")</f>
        <v/>
      </c>
      <c r="Z24" s="58" t="str">
        <f>IF(AND('Mapa final'!$Y$57="Alta",'Mapa final'!$AA$57="Moderado"),CONCATENATE("R9C",'Mapa final'!$O$57),"")</f>
        <v/>
      </c>
      <c r="AA24" s="54" t="str">
        <f>IF(AND('Mapa final'!$Y$58="Alta",'Mapa final'!$AA$58="Moderado"),CONCATENATE("R9C",'Mapa final'!$O$58),"")</f>
        <v/>
      </c>
      <c r="AB24" s="52" t="str">
        <f>IF(AND('Mapa final'!$Y$53="Alta",'Mapa final'!$AA$53="Mayor"),CONCATENATE("R9C",'Mapa final'!$O$53),"")</f>
        <v/>
      </c>
      <c r="AC24" s="53" t="str">
        <f>IF(AND('Mapa final'!$Y$54="Alta",'Mapa final'!$AA$54="Mayor"),CONCATENATE("R9C",'Mapa final'!$O$54),"")</f>
        <v/>
      </c>
      <c r="AD24" s="58" t="str">
        <f>IF(AND('Mapa final'!$Y$55="Alta",'Mapa final'!$AA$55="Mayor"),CONCATENATE("R9C",'Mapa final'!$O$55),"")</f>
        <v/>
      </c>
      <c r="AE24" s="58" t="str">
        <f>IF(AND('Mapa final'!$Y$56="Alta",'Mapa final'!$AA$56="Mayor"),CONCATENATE("R9C",'Mapa final'!$O$56),"")</f>
        <v/>
      </c>
      <c r="AF24" s="58" t="str">
        <f>IF(AND('Mapa final'!$Y$57="Alta",'Mapa final'!$AA$57="Mayor"),CONCATENATE("R9C",'Mapa final'!$O$57),"")</f>
        <v/>
      </c>
      <c r="AG24" s="54" t="str">
        <f>IF(AND('Mapa final'!$Y$58="Alta",'Mapa final'!$AA$58="Mayor"),CONCATENATE("R9C",'Mapa final'!$O$58),"")</f>
        <v/>
      </c>
      <c r="AH24" s="55" t="str">
        <f>IF(AND('Mapa final'!$Y$53="Alta",'Mapa final'!$AA$53="Catastrófico"),CONCATENATE("R9C",'Mapa final'!$O$53),"")</f>
        <v/>
      </c>
      <c r="AI24" s="56" t="str">
        <f>IF(AND('Mapa final'!$Y$54="Alta",'Mapa final'!$AA$54="Catastrófico"),CONCATENATE("R9C",'Mapa final'!$O$54),"")</f>
        <v/>
      </c>
      <c r="AJ24" s="56" t="str">
        <f>IF(AND('Mapa final'!$Y$55="Alta",'Mapa final'!$AA$55="Catastrófico"),CONCATENATE("R9C",'Mapa final'!$O$55),"")</f>
        <v/>
      </c>
      <c r="AK24" s="56" t="str">
        <f>IF(AND('Mapa final'!$Y$56="Alta",'Mapa final'!$AA$56="Catastrófico"),CONCATENATE("R9C",'Mapa final'!$O$56),"")</f>
        <v/>
      </c>
      <c r="AL24" s="56" t="str">
        <f>IF(AND('Mapa final'!$Y$57="Alta",'Mapa final'!$AA$57="Catastrófico"),CONCATENATE("R9C",'Mapa final'!$O$57),"")</f>
        <v/>
      </c>
      <c r="AM24" s="57" t="str">
        <f>IF(AND('Mapa final'!$Y$58="Alta",'Mapa final'!$AA$58="Catastrófico"),CONCATENATE("R9C",'Mapa final'!$O$58),"")</f>
        <v/>
      </c>
      <c r="AN24" s="84"/>
      <c r="AO24" s="356"/>
      <c r="AP24" s="357"/>
      <c r="AQ24" s="357"/>
      <c r="AR24" s="357"/>
      <c r="AS24" s="357"/>
      <c r="AT24" s="358"/>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305"/>
      <c r="C25" s="305"/>
      <c r="D25" s="306"/>
      <c r="E25" s="349"/>
      <c r="F25" s="350"/>
      <c r="G25" s="350"/>
      <c r="H25" s="350"/>
      <c r="I25" s="350"/>
      <c r="J25" s="71" t="str">
        <f>IF(AND('Mapa final'!$Y$59="Alta",'Mapa final'!$AA$59="Leve"),CONCATENATE("R10C",'Mapa final'!$O$59),"")</f>
        <v/>
      </c>
      <c r="K25" s="72" t="str">
        <f>IF(AND('Mapa final'!$Y$60="Alta",'Mapa final'!$AA$60="Leve"),CONCATENATE("R10C",'Mapa final'!$O$60),"")</f>
        <v/>
      </c>
      <c r="L25" s="72" t="str">
        <f>IF(AND('Mapa final'!$Y$61="Alta",'Mapa final'!$AA$61="Leve"),CONCATENATE("R10C",'Mapa final'!$O$61),"")</f>
        <v/>
      </c>
      <c r="M25" s="72" t="str">
        <f>IF(AND('Mapa final'!$Y$62="Alta",'Mapa final'!$AA$62="Leve"),CONCATENATE("R10C",'Mapa final'!$O$62),"")</f>
        <v/>
      </c>
      <c r="N25" s="72" t="str">
        <f>IF(AND('Mapa final'!$Y$63="Alta",'Mapa final'!$AA$63="Leve"),CONCATENATE("R10C",'Mapa final'!$O$63),"")</f>
        <v/>
      </c>
      <c r="O25" s="73" t="str">
        <f>IF(AND('Mapa final'!$Y$64="Alta",'Mapa final'!$AA$64="Leve"),CONCATENATE("R10C",'Mapa final'!$O$64),"")</f>
        <v/>
      </c>
      <c r="P25" s="71" t="str">
        <f>IF(AND('Mapa final'!$Y$59="Alta",'Mapa final'!$AA$59="Menor"),CONCATENATE("R10C",'Mapa final'!$O$59),"")</f>
        <v/>
      </c>
      <c r="Q25" s="72" t="str">
        <f>IF(AND('Mapa final'!$Y$60="Alta",'Mapa final'!$AA$60="Menor"),CONCATENATE("R10C",'Mapa final'!$O$60),"")</f>
        <v/>
      </c>
      <c r="R25" s="72" t="str">
        <f>IF(AND('Mapa final'!$Y$61="Alta",'Mapa final'!$AA$61="Menor"),CONCATENATE("R10C",'Mapa final'!$O$61),"")</f>
        <v/>
      </c>
      <c r="S25" s="72" t="str">
        <f>IF(AND('Mapa final'!$Y$62="Alta",'Mapa final'!$AA$62="Menor"),CONCATENATE("R10C",'Mapa final'!$O$62),"")</f>
        <v/>
      </c>
      <c r="T25" s="72" t="str">
        <f>IF(AND('Mapa final'!$Y$63="Alta",'Mapa final'!$AA$63="Menor"),CONCATENATE("R10C",'Mapa final'!$O$63),"")</f>
        <v/>
      </c>
      <c r="U25" s="73" t="str">
        <f>IF(AND('Mapa final'!$Y$64="Alta",'Mapa final'!$AA$64="Menor"),CONCATENATE("R10C",'Mapa final'!$O$64),"")</f>
        <v/>
      </c>
      <c r="V25" s="59" t="str">
        <f>IF(AND('Mapa final'!$Y$59="Alta",'Mapa final'!$AA$59="Moderado"),CONCATENATE("R10C",'Mapa final'!$O$59),"")</f>
        <v/>
      </c>
      <c r="W25" s="60" t="str">
        <f>IF(AND('Mapa final'!$Y$60="Alta",'Mapa final'!$AA$60="Moderado"),CONCATENATE("R10C",'Mapa final'!$O$60),"")</f>
        <v/>
      </c>
      <c r="X25" s="60" t="str">
        <f>IF(AND('Mapa final'!$Y$61="Alta",'Mapa final'!$AA$61="Moderado"),CONCATENATE("R10C",'Mapa final'!$O$61),"")</f>
        <v/>
      </c>
      <c r="Y25" s="60" t="str">
        <f>IF(AND('Mapa final'!$Y$62="Alta",'Mapa final'!$AA$62="Moderado"),CONCATENATE("R10C",'Mapa final'!$O$62),"")</f>
        <v/>
      </c>
      <c r="Z25" s="60" t="str">
        <f>IF(AND('Mapa final'!$Y$63="Alta",'Mapa final'!$AA$63="Moderado"),CONCATENATE("R10C",'Mapa final'!$O$63),"")</f>
        <v/>
      </c>
      <c r="AA25" s="61" t="str">
        <f>IF(AND('Mapa final'!$Y$64="Alta",'Mapa final'!$AA$64="Moderado"),CONCATENATE("R10C",'Mapa final'!$O$64),"")</f>
        <v/>
      </c>
      <c r="AB25" s="59" t="str">
        <f>IF(AND('Mapa final'!$Y$59="Alta",'Mapa final'!$AA$59="Mayor"),CONCATENATE("R10C",'Mapa final'!$O$59),"")</f>
        <v/>
      </c>
      <c r="AC25" s="60" t="str">
        <f>IF(AND('Mapa final'!$Y$60="Alta",'Mapa final'!$AA$60="Mayor"),CONCATENATE("R10C",'Mapa final'!$O$60),"")</f>
        <v/>
      </c>
      <c r="AD25" s="60" t="str">
        <f>IF(AND('Mapa final'!$Y$61="Alta",'Mapa final'!$AA$61="Mayor"),CONCATENATE("R10C",'Mapa final'!$O$61),"")</f>
        <v/>
      </c>
      <c r="AE25" s="60" t="str">
        <f>IF(AND('Mapa final'!$Y$62="Alta",'Mapa final'!$AA$62="Mayor"),CONCATENATE("R10C",'Mapa final'!$O$62),"")</f>
        <v/>
      </c>
      <c r="AF25" s="60" t="str">
        <f>IF(AND('Mapa final'!$Y$63="Alta",'Mapa final'!$AA$63="Mayor"),CONCATENATE("R10C",'Mapa final'!$O$63),"")</f>
        <v/>
      </c>
      <c r="AG25" s="61" t="str">
        <f>IF(AND('Mapa final'!$Y$64="Alta",'Mapa final'!$AA$64="Mayor"),CONCATENATE("R10C",'Mapa final'!$O$64),"")</f>
        <v/>
      </c>
      <c r="AH25" s="62" t="str">
        <f>IF(AND('Mapa final'!$Y$59="Alta",'Mapa final'!$AA$59="Catastrófico"),CONCATENATE("R10C",'Mapa final'!$O$59),"")</f>
        <v/>
      </c>
      <c r="AI25" s="63" t="str">
        <f>IF(AND('Mapa final'!$Y$60="Alta",'Mapa final'!$AA$60="Catastrófico"),CONCATENATE("R10C",'Mapa final'!$O$60),"")</f>
        <v/>
      </c>
      <c r="AJ25" s="63" t="str">
        <f>IF(AND('Mapa final'!$Y$61="Alta",'Mapa final'!$AA$61="Catastrófico"),CONCATENATE("R10C",'Mapa final'!$O$61),"")</f>
        <v/>
      </c>
      <c r="AK25" s="63" t="str">
        <f>IF(AND('Mapa final'!$Y$62="Alta",'Mapa final'!$AA$62="Catastrófico"),CONCATENATE("R10C",'Mapa final'!$O$62),"")</f>
        <v/>
      </c>
      <c r="AL25" s="63" t="str">
        <f>IF(AND('Mapa final'!$Y$63="Alta",'Mapa final'!$AA$63="Catastrófico"),CONCATENATE("R10C",'Mapa final'!$O$63),"")</f>
        <v/>
      </c>
      <c r="AM25" s="64" t="str">
        <f>IF(AND('Mapa final'!$Y$64="Alta",'Mapa final'!$AA$64="Catastrófico"),CONCATENATE("R10C",'Mapa final'!$O$64),"")</f>
        <v/>
      </c>
      <c r="AN25" s="84"/>
      <c r="AO25" s="359"/>
      <c r="AP25" s="360"/>
      <c r="AQ25" s="360"/>
      <c r="AR25" s="360"/>
      <c r="AS25" s="360"/>
      <c r="AT25" s="361"/>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305"/>
      <c r="C26" s="305"/>
      <c r="D26" s="306"/>
      <c r="E26" s="343" t="s">
        <v>117</v>
      </c>
      <c r="F26" s="344"/>
      <c r="G26" s="344"/>
      <c r="H26" s="344"/>
      <c r="I26" s="345"/>
      <c r="J26" s="65" t="str">
        <f>IF(AND('Mapa final'!$Y$10="Media",'Mapa final'!$AA$10="Leve"),CONCATENATE("R1C",'Mapa final'!$O$10),"")</f>
        <v/>
      </c>
      <c r="K26" s="66" t="str">
        <f>IF(AND('Mapa final'!$Y$11="Media",'Mapa final'!$AA$11="Leve"),CONCATENATE("R1C",'Mapa final'!$O$11),"")</f>
        <v/>
      </c>
      <c r="L26" s="66" t="str">
        <f>IF(AND('Mapa final'!$Y$12="Media",'Mapa final'!$AA$12="Leve"),CONCATENATE("R1C",'Mapa final'!$O$12),"")</f>
        <v/>
      </c>
      <c r="M26" s="66" t="str">
        <f>IF(AND('Mapa final'!$Y$13="Media",'Mapa final'!$AA$13="Leve"),CONCATENATE("R1C",'Mapa final'!$O$13),"")</f>
        <v/>
      </c>
      <c r="N26" s="66" t="e">
        <f>IF(AND('Mapa final'!#REF!="Media",'Mapa final'!#REF!="Leve"),CONCATENATE("R1C",'Mapa final'!#REF!),"")</f>
        <v>#REF!</v>
      </c>
      <c r="O26" s="67" t="str">
        <f>IF(AND('Mapa final'!$Y$14="Media",'Mapa final'!$AA$14="Leve"),CONCATENATE("R1C",'Mapa final'!$O$14),"")</f>
        <v/>
      </c>
      <c r="P26" s="65" t="str">
        <f>IF(AND('Mapa final'!$Y$10="Media",'Mapa final'!$AA$10="Menor"),CONCATENATE("R1C",'Mapa final'!$O$10),"")</f>
        <v/>
      </c>
      <c r="Q26" s="66" t="str">
        <f>IF(AND('Mapa final'!$Y$11="Media",'Mapa final'!$AA$11="Menor"),CONCATENATE("R1C",'Mapa final'!$O$11),"")</f>
        <v/>
      </c>
      <c r="R26" s="66" t="str">
        <f>IF(AND('Mapa final'!$Y$12="Media",'Mapa final'!$AA$12="Menor"),CONCATENATE("R1C",'Mapa final'!$O$12),"")</f>
        <v/>
      </c>
      <c r="S26" s="66" t="str">
        <f>IF(AND('Mapa final'!$Y$13="Media",'Mapa final'!$AA$13="Menor"),CONCATENATE("R1C",'Mapa final'!$O$13),"")</f>
        <v/>
      </c>
      <c r="T26" s="66" t="e">
        <f>IF(AND('Mapa final'!#REF!="Media",'Mapa final'!#REF!="Menor"),CONCATENATE("R1C",'Mapa final'!#REF!),"")</f>
        <v>#REF!</v>
      </c>
      <c r="U26" s="67" t="str">
        <f>IF(AND('Mapa final'!$Y$14="Media",'Mapa final'!$AA$14="Menor"),CONCATENATE("R1C",'Mapa final'!$O$14),"")</f>
        <v/>
      </c>
      <c r="V26" s="65" t="str">
        <f>IF(AND('Mapa final'!$Y$10="Media",'Mapa final'!$AA$10="Moderado"),CONCATENATE("R1C",'Mapa final'!$O$10),"")</f>
        <v/>
      </c>
      <c r="W26" s="66" t="str">
        <f>IF(AND('Mapa final'!$Y$11="Media",'Mapa final'!$AA$11="Moderado"),CONCATENATE("R1C",'Mapa final'!$O$11),"")</f>
        <v/>
      </c>
      <c r="X26" s="66" t="str">
        <f>IF(AND('Mapa final'!$Y$12="Media",'Mapa final'!$AA$12="Moderado"),CONCATENATE("R1C",'Mapa final'!$O$12),"")</f>
        <v/>
      </c>
      <c r="Y26" s="66" t="str">
        <f>IF(AND('Mapa final'!$Y$13="Media",'Mapa final'!$AA$13="Moderado"),CONCATENATE("R1C",'Mapa final'!$O$13),"")</f>
        <v/>
      </c>
      <c r="Z26" s="66" t="e">
        <f>IF(AND('Mapa final'!#REF!="Media",'Mapa final'!#REF!="Moderado"),CONCATENATE("R1C",'Mapa final'!#REF!),"")</f>
        <v>#REF!</v>
      </c>
      <c r="AA26" s="67" t="str">
        <f>IF(AND('Mapa final'!$Y$14="Media",'Mapa final'!$AA$14="Moderado"),CONCATENATE("R1C",'Mapa final'!$O$14),"")</f>
        <v/>
      </c>
      <c r="AB26" s="46" t="str">
        <f>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e">
        <f>IF(AND('Mapa final'!#REF!="Media",'Mapa final'!#REF!="Mayor"),CONCATENATE("R1C",'Mapa final'!#REF!),"")</f>
        <v>#REF!</v>
      </c>
      <c r="AG26" s="48" t="str">
        <f>IF(AND('Mapa final'!$Y$14="Media",'Mapa final'!$AA$14="Mayor"),CONCATENATE("R1C",'Mapa final'!$O$14),"")</f>
        <v/>
      </c>
      <c r="AH26" s="49" t="str">
        <f>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e">
        <f>IF(AND('Mapa final'!#REF!="Media",'Mapa final'!#REF!="Catastrófico"),CONCATENATE("R1C",'Mapa final'!#REF!),"")</f>
        <v>#REF!</v>
      </c>
      <c r="AM26" s="51" t="str">
        <f>IF(AND('Mapa final'!$Y$14="Media",'Mapa final'!$AA$14="Catastrófico"),CONCATENATE("R1C",'Mapa final'!$O$14),"")</f>
        <v/>
      </c>
      <c r="AN26" s="84"/>
      <c r="AO26" s="384" t="s">
        <v>81</v>
      </c>
      <c r="AP26" s="385"/>
      <c r="AQ26" s="385"/>
      <c r="AR26" s="385"/>
      <c r="AS26" s="385"/>
      <c r="AT26" s="386"/>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305"/>
      <c r="C27" s="305"/>
      <c r="D27" s="306"/>
      <c r="E27" s="362"/>
      <c r="F27" s="363"/>
      <c r="G27" s="363"/>
      <c r="H27" s="363"/>
      <c r="I27" s="348"/>
      <c r="J27" s="68" t="str">
        <f>IF(AND('Mapa final'!$Y$15="Media",'Mapa final'!$AA$15="Leve"),CONCATENATE("R2C",'Mapa final'!$O$15),"")</f>
        <v/>
      </c>
      <c r="K27" s="69" t="str">
        <f>IF(AND('Mapa final'!$Y$16="Media",'Mapa final'!$AA$16="Leve"),CONCATENATE("R2C",'Mapa final'!$O$16),"")</f>
        <v/>
      </c>
      <c r="L27" s="69" t="str">
        <f>IF(AND('Mapa final'!$Y$17="Media",'Mapa final'!$AA$17="Leve"),CONCATENATE("R2C",'Mapa final'!$O$17),"")</f>
        <v/>
      </c>
      <c r="M27" s="69" t="str">
        <f>IF(AND('Mapa final'!$Y$18="Media",'Mapa final'!$AA$18="Leve"),CONCATENATE("R2C",'Mapa final'!$O$18),"")</f>
        <v/>
      </c>
      <c r="N27" s="69" t="str">
        <f>IF(AND('Mapa final'!$Y$19="Media",'Mapa final'!$AA$19="Leve"),CONCATENATE("R2C",'Mapa final'!$O$19),"")</f>
        <v/>
      </c>
      <c r="O27" s="70" t="str">
        <f>IF(AND('Mapa final'!$Y$20="Media",'Mapa final'!$AA$20="Leve"),CONCATENATE("R2C",'Mapa final'!$O$20),"")</f>
        <v/>
      </c>
      <c r="P27" s="68" t="str">
        <f>IF(AND('Mapa final'!$Y$15="Media",'Mapa final'!$AA$15="Menor"),CONCATENATE("R2C",'Mapa final'!$O$15),"")</f>
        <v/>
      </c>
      <c r="Q27" s="69" t="str">
        <f>IF(AND('Mapa final'!$Y$16="Media",'Mapa final'!$AA$16="Menor"),CONCATENATE("R2C",'Mapa final'!$O$16),"")</f>
        <v/>
      </c>
      <c r="R27" s="69" t="str">
        <f>IF(AND('Mapa final'!$Y$17="Media",'Mapa final'!$AA$17="Menor"),CONCATENATE("R2C",'Mapa final'!$O$17),"")</f>
        <v/>
      </c>
      <c r="S27" s="69" t="str">
        <f>IF(AND('Mapa final'!$Y$18="Media",'Mapa final'!$AA$18="Menor"),CONCATENATE("R2C",'Mapa final'!$O$18),"")</f>
        <v/>
      </c>
      <c r="T27" s="69" t="str">
        <f>IF(AND('Mapa final'!$Y$19="Media",'Mapa final'!$AA$19="Menor"),CONCATENATE("R2C",'Mapa final'!$O$19),"")</f>
        <v/>
      </c>
      <c r="U27" s="70" t="str">
        <f>IF(AND('Mapa final'!$Y$20="Media",'Mapa final'!$AA$20="Menor"),CONCATENATE("R2C",'Mapa final'!$O$20),"")</f>
        <v/>
      </c>
      <c r="V27" s="68" t="str">
        <f>IF(AND('Mapa final'!$Y$15="Media",'Mapa final'!$AA$15="Moderado"),CONCATENATE("R2C",'Mapa final'!$O$15),"")</f>
        <v/>
      </c>
      <c r="W27" s="69" t="str">
        <f>IF(AND('Mapa final'!$Y$16="Media",'Mapa final'!$AA$16="Moderado"),CONCATENATE("R2C",'Mapa final'!$O$16),"")</f>
        <v/>
      </c>
      <c r="X27" s="69" t="str">
        <f>IF(AND('Mapa final'!$Y$17="Media",'Mapa final'!$AA$17="Moderado"),CONCATENATE("R2C",'Mapa final'!$O$17),"")</f>
        <v/>
      </c>
      <c r="Y27" s="69" t="str">
        <f>IF(AND('Mapa final'!$Y$18="Media",'Mapa final'!$AA$18="Moderado"),CONCATENATE("R2C",'Mapa final'!$O$18),"")</f>
        <v/>
      </c>
      <c r="Z27" s="69" t="str">
        <f>IF(AND('Mapa final'!$Y$19="Media",'Mapa final'!$AA$19="Moderado"),CONCATENATE("R2C",'Mapa final'!$O$19),"")</f>
        <v/>
      </c>
      <c r="AA27" s="70" t="str">
        <f>IF(AND('Mapa final'!$Y$20="Media",'Mapa final'!$AA$20="Moderado"),CONCATENATE("R2C",'Mapa final'!$O$20),"")</f>
        <v/>
      </c>
      <c r="AB27" s="52" t="str">
        <f>IF(AND('Mapa final'!$Y$15="Media",'Mapa final'!$AA$15="Mayor"),CONCATENATE("R2C",'Mapa final'!$O$15),"")</f>
        <v/>
      </c>
      <c r="AC27" s="53" t="str">
        <f>IF(AND('Mapa final'!$Y$16="Media",'Mapa final'!$AA$16="Mayor"),CONCATENATE("R2C",'Mapa final'!$O$16),"")</f>
        <v/>
      </c>
      <c r="AD27" s="53" t="str">
        <f>IF(AND('Mapa final'!$Y$17="Media",'Mapa final'!$AA$17="Mayor"),CONCATENATE("R2C",'Mapa final'!$O$17),"")</f>
        <v/>
      </c>
      <c r="AE27" s="53" t="str">
        <f>IF(AND('Mapa final'!$Y$18="Media",'Mapa final'!$AA$18="Mayor"),CONCATENATE("R2C",'Mapa final'!$O$18),"")</f>
        <v/>
      </c>
      <c r="AF27" s="53" t="str">
        <f>IF(AND('Mapa final'!$Y$19="Media",'Mapa final'!$AA$19="Mayor"),CONCATENATE("R2C",'Mapa final'!$O$19),"")</f>
        <v/>
      </c>
      <c r="AG27" s="54" t="str">
        <f>IF(AND('Mapa final'!$Y$20="Media",'Mapa final'!$AA$20="Mayor"),CONCATENATE("R2C",'Mapa final'!$O$20),"")</f>
        <v/>
      </c>
      <c r="AH27" s="55" t="str">
        <f>IF(AND('Mapa final'!$Y$15="Media",'Mapa final'!$AA$15="Catastrófico"),CONCATENATE("R2C",'Mapa final'!$O$15),"")</f>
        <v/>
      </c>
      <c r="AI27" s="56" t="str">
        <f>IF(AND('Mapa final'!$Y$16="Media",'Mapa final'!$AA$16="Catastrófico"),CONCATENATE("R2C",'Mapa final'!$O$16),"")</f>
        <v/>
      </c>
      <c r="AJ27" s="56" t="str">
        <f>IF(AND('Mapa final'!$Y$17="Media",'Mapa final'!$AA$17="Catastrófico"),CONCATENATE("R2C",'Mapa final'!$O$17),"")</f>
        <v/>
      </c>
      <c r="AK27" s="56" t="str">
        <f>IF(AND('Mapa final'!$Y$18="Media",'Mapa final'!$AA$18="Catastrófico"),CONCATENATE("R2C",'Mapa final'!$O$18),"")</f>
        <v/>
      </c>
      <c r="AL27" s="56" t="str">
        <f>IF(AND('Mapa final'!$Y$19="Media",'Mapa final'!$AA$19="Catastrófico"),CONCATENATE("R2C",'Mapa final'!$O$19),"")</f>
        <v/>
      </c>
      <c r="AM27" s="57" t="str">
        <f>IF(AND('Mapa final'!$Y$20="Media",'Mapa final'!$AA$20="Catastrófico"),CONCATENATE("R2C",'Mapa final'!$O$20),"")</f>
        <v/>
      </c>
      <c r="AN27" s="84"/>
      <c r="AO27" s="387"/>
      <c r="AP27" s="388"/>
      <c r="AQ27" s="388"/>
      <c r="AR27" s="388"/>
      <c r="AS27" s="388"/>
      <c r="AT27" s="389"/>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305"/>
      <c r="C28" s="305"/>
      <c r="D28" s="306"/>
      <c r="E28" s="346"/>
      <c r="F28" s="347"/>
      <c r="G28" s="347"/>
      <c r="H28" s="347"/>
      <c r="I28" s="348"/>
      <c r="J28" s="68" t="str">
        <f>IF(AND('Mapa final'!$Y$21="Media",'Mapa final'!$AA$21="Leve"),CONCATENATE("R3C",'Mapa final'!$O$21),"")</f>
        <v/>
      </c>
      <c r="K28" s="69" t="str">
        <f>IF(AND('Mapa final'!$Y$22="Media",'Mapa final'!$AA$22="Leve"),CONCATENATE("R3C",'Mapa final'!$O$22),"")</f>
        <v/>
      </c>
      <c r="L28" s="69" t="e">
        <f>IF(AND('Mapa final'!#REF!="Media",'Mapa final'!#REF!="Leve"),CONCATENATE("R3C",'Mapa final'!#REF!),"")</f>
        <v>#REF!</v>
      </c>
      <c r="M28" s="69" t="e">
        <f>IF(AND('Mapa final'!#REF!="Media",'Mapa final'!#REF!="Leve"),CONCATENATE("R3C",'Mapa final'!#REF!),"")</f>
        <v>#REF!</v>
      </c>
      <c r="N28" s="69" t="e">
        <f>IF(AND('Mapa final'!#REF!="Media",'Mapa final'!#REF!="Leve"),CONCATENATE("R3C",'Mapa final'!#REF!),"")</f>
        <v>#REF!</v>
      </c>
      <c r="O28" s="70" t="e">
        <f>IF(AND('Mapa final'!#REF!="Media",'Mapa final'!#REF!="Leve"),CONCATENATE("R3C",'Mapa final'!#REF!),"")</f>
        <v>#REF!</v>
      </c>
      <c r="P28" s="68" t="str">
        <f>IF(AND('Mapa final'!$Y$21="Media",'Mapa final'!$AA$21="Menor"),CONCATENATE("R3C",'Mapa final'!$O$21),"")</f>
        <v/>
      </c>
      <c r="Q28" s="69" t="str">
        <f>IF(AND('Mapa final'!$Y$22="Media",'Mapa final'!$AA$22="Menor"),CONCATENATE("R3C",'Mapa final'!$O$22),"")</f>
        <v/>
      </c>
      <c r="R28" s="69" t="e">
        <f>IF(AND('Mapa final'!#REF!="Media",'Mapa final'!#REF!="Menor"),CONCATENATE("R3C",'Mapa final'!#REF!),"")</f>
        <v>#REF!</v>
      </c>
      <c r="S28" s="69" t="e">
        <f>IF(AND('Mapa final'!#REF!="Media",'Mapa final'!#REF!="Menor"),CONCATENATE("R3C",'Mapa final'!#REF!),"")</f>
        <v>#REF!</v>
      </c>
      <c r="T28" s="69" t="e">
        <f>IF(AND('Mapa final'!#REF!="Media",'Mapa final'!#REF!="Menor"),CONCATENATE("R3C",'Mapa final'!#REF!),"")</f>
        <v>#REF!</v>
      </c>
      <c r="U28" s="70" t="e">
        <f>IF(AND('Mapa final'!#REF!="Media",'Mapa final'!#REF!="Menor"),CONCATENATE("R3C",'Mapa final'!#REF!),"")</f>
        <v>#REF!</v>
      </c>
      <c r="V28" s="68" t="str">
        <f>IF(AND('Mapa final'!$Y$21="Media",'Mapa final'!$AA$21="Moderado"),CONCATENATE("R3C",'Mapa final'!$O$21),"")</f>
        <v/>
      </c>
      <c r="W28" s="69" t="str">
        <f>IF(AND('Mapa final'!$Y$22="Media",'Mapa final'!$AA$22="Moderado"),CONCATENATE("R3C",'Mapa final'!$O$22),"")</f>
        <v/>
      </c>
      <c r="X28" s="69" t="e">
        <f>IF(AND('Mapa final'!#REF!="Media",'Mapa final'!#REF!="Moderado"),CONCATENATE("R3C",'Mapa final'!#REF!),"")</f>
        <v>#REF!</v>
      </c>
      <c r="Y28" s="69" t="e">
        <f>IF(AND('Mapa final'!#REF!="Media",'Mapa final'!#REF!="Moderado"),CONCATENATE("R3C",'Mapa final'!#REF!),"")</f>
        <v>#REF!</v>
      </c>
      <c r="Z28" s="69" t="e">
        <f>IF(AND('Mapa final'!#REF!="Media",'Mapa final'!#REF!="Moderado"),CONCATENATE("R3C",'Mapa final'!#REF!),"")</f>
        <v>#REF!</v>
      </c>
      <c r="AA28" s="70" t="e">
        <f>IF(AND('Mapa final'!#REF!="Media",'Mapa final'!#REF!="Moderado"),CONCATENATE("R3C",'Mapa final'!#REF!),"")</f>
        <v>#REF!</v>
      </c>
      <c r="AB28" s="52" t="str">
        <f>IF(AND('Mapa final'!$Y$21="Media",'Mapa final'!$AA$21="Mayor"),CONCATENATE("R3C",'Mapa final'!$O$21),"")</f>
        <v/>
      </c>
      <c r="AC28" s="53" t="str">
        <f>IF(AND('Mapa final'!$Y$22="Media",'Mapa final'!$AA$22="Mayor"),CONCATENATE("R3C",'Mapa final'!$O$22),"")</f>
        <v/>
      </c>
      <c r="AD28" s="53" t="e">
        <f>IF(AND('Mapa final'!#REF!="Media",'Mapa final'!#REF!="Mayor"),CONCATENATE("R3C",'Mapa final'!#REF!),"")</f>
        <v>#REF!</v>
      </c>
      <c r="AE28" s="53" t="e">
        <f>IF(AND('Mapa final'!#REF!="Media",'Mapa final'!#REF!="Mayor"),CONCATENATE("R3C",'Mapa final'!#REF!),"")</f>
        <v>#REF!</v>
      </c>
      <c r="AF28" s="53" t="e">
        <f>IF(AND('Mapa final'!#REF!="Media",'Mapa final'!#REF!="Mayor"),CONCATENATE("R3C",'Mapa final'!#REF!),"")</f>
        <v>#REF!</v>
      </c>
      <c r="AG28" s="54" t="e">
        <f>IF(AND('Mapa final'!#REF!="Media",'Mapa final'!#REF!="Mayor"),CONCATENATE("R3C",'Mapa final'!#REF!),"")</f>
        <v>#REF!</v>
      </c>
      <c r="AH28" s="55" t="str">
        <f>IF(AND('Mapa final'!$Y$21="Media",'Mapa final'!$AA$21="Catastrófico"),CONCATENATE("R3C",'Mapa final'!$O$21),"")</f>
        <v/>
      </c>
      <c r="AI28" s="56" t="str">
        <f>IF(AND('Mapa final'!$Y$22="Media",'Mapa final'!$AA$22="Catastrófico"),CONCATENATE("R3C",'Mapa final'!$O$22),"")</f>
        <v/>
      </c>
      <c r="AJ28" s="56" t="e">
        <f>IF(AND('Mapa final'!#REF!="Media",'Mapa final'!#REF!="Catastrófico"),CONCATENATE("R3C",'Mapa final'!#REF!),"")</f>
        <v>#REF!</v>
      </c>
      <c r="AK28" s="56" t="e">
        <f>IF(AND('Mapa final'!#REF!="Media",'Mapa final'!#REF!="Catastrófico"),CONCATENATE("R3C",'Mapa final'!#REF!),"")</f>
        <v>#REF!</v>
      </c>
      <c r="AL28" s="56" t="e">
        <f>IF(AND('Mapa final'!#REF!="Media",'Mapa final'!#REF!="Catastrófico"),CONCATENATE("R3C",'Mapa final'!#REF!),"")</f>
        <v>#REF!</v>
      </c>
      <c r="AM28" s="57" t="e">
        <f>IF(AND('Mapa final'!#REF!="Media",'Mapa final'!#REF!="Catastrófico"),CONCATENATE("R3C",'Mapa final'!#REF!),"")</f>
        <v>#REF!</v>
      </c>
      <c r="AN28" s="84"/>
      <c r="AO28" s="387"/>
      <c r="AP28" s="388"/>
      <c r="AQ28" s="388"/>
      <c r="AR28" s="388"/>
      <c r="AS28" s="388"/>
      <c r="AT28" s="389"/>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305"/>
      <c r="C29" s="305"/>
      <c r="D29" s="306"/>
      <c r="E29" s="346"/>
      <c r="F29" s="347"/>
      <c r="G29" s="347"/>
      <c r="H29" s="347"/>
      <c r="I29" s="348"/>
      <c r="J29" s="68" t="str">
        <f>IF(AND('Mapa final'!$Y$23="Media",'Mapa final'!$AA$23="Leve"),CONCATENATE("R4C",'Mapa final'!$O$23),"")</f>
        <v/>
      </c>
      <c r="K29" s="69" t="str">
        <f>IF(AND('Mapa final'!$Y$24="Media",'Mapa final'!$AA$24="Leve"),CONCATENATE("R4C",'Mapa final'!$O$24),"")</f>
        <v/>
      </c>
      <c r="L29" s="69" t="str">
        <f>IF(AND('Mapa final'!$Y$25="Media",'Mapa final'!$AA$25="Leve"),CONCATENATE("R4C",'Mapa final'!$O$25),"")</f>
        <v/>
      </c>
      <c r="M29" s="69" t="str">
        <f>IF(AND('Mapa final'!$Y$26="Media",'Mapa final'!$AA$26="Leve"),CONCATENATE("R4C",'Mapa final'!$O$26),"")</f>
        <v/>
      </c>
      <c r="N29" s="69" t="str">
        <f>IF(AND('Mapa final'!$Y$27="Media",'Mapa final'!$AA$27="Leve"),CONCATENATE("R4C",'Mapa final'!$O$27),"")</f>
        <v/>
      </c>
      <c r="O29" s="70" t="str">
        <f>IF(AND('Mapa final'!$Y$28="Media",'Mapa final'!$AA$28="Leve"),CONCATENATE("R4C",'Mapa final'!$O$28),"")</f>
        <v/>
      </c>
      <c r="P29" s="68" t="str">
        <f>IF(AND('Mapa final'!$Y$23="Media",'Mapa final'!$AA$23="Menor"),CONCATENATE("R4C",'Mapa final'!$O$23),"")</f>
        <v/>
      </c>
      <c r="Q29" s="69" t="str">
        <f>IF(AND('Mapa final'!$Y$24="Media",'Mapa final'!$AA$24="Menor"),CONCATENATE("R4C",'Mapa final'!$O$24),"")</f>
        <v/>
      </c>
      <c r="R29" s="69" t="str">
        <f>IF(AND('Mapa final'!$Y$25="Media",'Mapa final'!$AA$25="Menor"),CONCATENATE("R4C",'Mapa final'!$O$25),"")</f>
        <v/>
      </c>
      <c r="S29" s="69" t="str">
        <f>IF(AND('Mapa final'!$Y$26="Media",'Mapa final'!$AA$26="Menor"),CONCATENATE("R4C",'Mapa final'!$O$26),"")</f>
        <v/>
      </c>
      <c r="T29" s="69" t="str">
        <f>IF(AND('Mapa final'!$Y$27="Media",'Mapa final'!$AA$27="Menor"),CONCATENATE("R4C",'Mapa final'!$O$27),"")</f>
        <v/>
      </c>
      <c r="U29" s="70" t="str">
        <f>IF(AND('Mapa final'!$Y$28="Media",'Mapa final'!$AA$28="Menor"),CONCATENATE("R4C",'Mapa final'!$O$28),"")</f>
        <v/>
      </c>
      <c r="V29" s="68" t="str">
        <f>IF(AND('Mapa final'!$Y$23="Media",'Mapa final'!$AA$23="Moderado"),CONCATENATE("R4C",'Mapa final'!$O$23),"")</f>
        <v/>
      </c>
      <c r="W29" s="69" t="str">
        <f>IF(AND('Mapa final'!$Y$24="Media",'Mapa final'!$AA$24="Moderado"),CONCATENATE("R4C",'Mapa final'!$O$24),"")</f>
        <v/>
      </c>
      <c r="X29" s="69" t="str">
        <f>IF(AND('Mapa final'!$Y$25="Media",'Mapa final'!$AA$25="Moderado"),CONCATENATE("R4C",'Mapa final'!$O$25),"")</f>
        <v/>
      </c>
      <c r="Y29" s="69" t="str">
        <f>IF(AND('Mapa final'!$Y$26="Media",'Mapa final'!$AA$26="Moderado"),CONCATENATE("R4C",'Mapa final'!$O$26),"")</f>
        <v/>
      </c>
      <c r="Z29" s="69" t="str">
        <f>IF(AND('Mapa final'!$Y$27="Media",'Mapa final'!$AA$27="Moderado"),CONCATENATE("R4C",'Mapa final'!$O$27),"")</f>
        <v/>
      </c>
      <c r="AA29" s="70" t="str">
        <f>IF(AND('Mapa final'!$Y$28="Media",'Mapa final'!$AA$28="Moderado"),CONCATENATE("R4C",'Mapa final'!$O$28),"")</f>
        <v/>
      </c>
      <c r="AB29" s="52" t="str">
        <f>IF(AND('Mapa final'!$Y$23="Media",'Mapa final'!$AA$23="Mayor"),CONCATENATE("R4C",'Mapa final'!$O$23),"")</f>
        <v/>
      </c>
      <c r="AC29" s="53" t="str">
        <f>IF(AND('Mapa final'!$Y$24="Media",'Mapa final'!$AA$24="Mayor"),CONCATENATE("R4C",'Mapa final'!$O$24),"")</f>
        <v/>
      </c>
      <c r="AD29" s="58" t="str">
        <f>IF(AND('Mapa final'!$Y$25="Media",'Mapa final'!$AA$25="Mayor"),CONCATENATE("R4C",'Mapa final'!$O$25),"")</f>
        <v/>
      </c>
      <c r="AE29" s="58" t="str">
        <f>IF(AND('Mapa final'!$Y$26="Media",'Mapa final'!$AA$26="Mayor"),CONCATENATE("R4C",'Mapa final'!$O$26),"")</f>
        <v/>
      </c>
      <c r="AF29" s="58" t="str">
        <f>IF(AND('Mapa final'!$Y$27="Media",'Mapa final'!$AA$27="Mayor"),CONCATENATE("R4C",'Mapa final'!$O$27),"")</f>
        <v/>
      </c>
      <c r="AG29" s="54" t="str">
        <f>IF(AND('Mapa final'!$Y$28="Media",'Mapa final'!$AA$28="Mayor"),CONCATENATE("R4C",'Mapa final'!$O$28),"")</f>
        <v/>
      </c>
      <c r="AH29" s="55" t="str">
        <f>IF(AND('Mapa final'!$Y$23="Media",'Mapa final'!$AA$23="Catastrófico"),CONCATENATE("R4C",'Mapa final'!$O$23),"")</f>
        <v/>
      </c>
      <c r="AI29" s="56" t="str">
        <f>IF(AND('Mapa final'!$Y$24="Media",'Mapa final'!$AA$24="Catastrófico"),CONCATENATE("R4C",'Mapa final'!$O$24),"")</f>
        <v/>
      </c>
      <c r="AJ29" s="56" t="str">
        <f>IF(AND('Mapa final'!$Y$25="Media",'Mapa final'!$AA$25="Catastrófico"),CONCATENATE("R4C",'Mapa final'!$O$25),"")</f>
        <v/>
      </c>
      <c r="AK29" s="56" t="str">
        <f>IF(AND('Mapa final'!$Y$26="Media",'Mapa final'!$AA$26="Catastrófico"),CONCATENATE("R4C",'Mapa final'!$O$26),"")</f>
        <v/>
      </c>
      <c r="AL29" s="56" t="str">
        <f>IF(AND('Mapa final'!$Y$27="Media",'Mapa final'!$AA$27="Catastrófico"),CONCATENATE("R4C",'Mapa final'!$O$27),"")</f>
        <v/>
      </c>
      <c r="AM29" s="57" t="str">
        <f>IF(AND('Mapa final'!$Y$28="Media",'Mapa final'!$AA$28="Catastrófico"),CONCATENATE("R4C",'Mapa final'!$O$28),"")</f>
        <v/>
      </c>
      <c r="AN29" s="84"/>
      <c r="AO29" s="387"/>
      <c r="AP29" s="388"/>
      <c r="AQ29" s="388"/>
      <c r="AR29" s="388"/>
      <c r="AS29" s="388"/>
      <c r="AT29" s="389"/>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305"/>
      <c r="C30" s="305"/>
      <c r="D30" s="306"/>
      <c r="E30" s="346"/>
      <c r="F30" s="347"/>
      <c r="G30" s="347"/>
      <c r="H30" s="347"/>
      <c r="I30" s="348"/>
      <c r="J30" s="68" t="str">
        <f>IF(AND('Mapa final'!$Y$29="Media",'Mapa final'!$AA$29="Leve"),CONCATENATE("R5C",'Mapa final'!$O$29),"")</f>
        <v/>
      </c>
      <c r="K30" s="69" t="str">
        <f>IF(AND('Mapa final'!$Y$30="Media",'Mapa final'!$AA$30="Leve"),CONCATENATE("R5C",'Mapa final'!$O$30),"")</f>
        <v/>
      </c>
      <c r="L30" s="69" t="str">
        <f>IF(AND('Mapa final'!$Y$31="Media",'Mapa final'!$AA$31="Leve"),CONCATENATE("R5C",'Mapa final'!$O$31),"")</f>
        <v/>
      </c>
      <c r="M30" s="69" t="str">
        <f>IF(AND('Mapa final'!$Y$32="Media",'Mapa final'!$AA$32="Leve"),CONCATENATE("R5C",'Mapa final'!$O$32),"")</f>
        <v/>
      </c>
      <c r="N30" s="69" t="str">
        <f>IF(AND('Mapa final'!$Y$33="Media",'Mapa final'!$AA$33="Leve"),CONCATENATE("R5C",'Mapa final'!$O$33),"")</f>
        <v/>
      </c>
      <c r="O30" s="70" t="str">
        <f>IF(AND('Mapa final'!$Y$34="Media",'Mapa final'!$AA$34="Leve"),CONCATENATE("R5C",'Mapa final'!$O$34),"")</f>
        <v/>
      </c>
      <c r="P30" s="68" t="str">
        <f>IF(AND('Mapa final'!$Y$29="Media",'Mapa final'!$AA$29="Menor"),CONCATENATE("R5C",'Mapa final'!$O$29),"")</f>
        <v/>
      </c>
      <c r="Q30" s="69" t="str">
        <f>IF(AND('Mapa final'!$Y$30="Media",'Mapa final'!$AA$30="Menor"),CONCATENATE("R5C",'Mapa final'!$O$30),"")</f>
        <v/>
      </c>
      <c r="R30" s="69" t="str">
        <f>IF(AND('Mapa final'!$Y$31="Media",'Mapa final'!$AA$31="Menor"),CONCATENATE("R5C",'Mapa final'!$O$31),"")</f>
        <v/>
      </c>
      <c r="S30" s="69" t="str">
        <f>IF(AND('Mapa final'!$Y$32="Media",'Mapa final'!$AA$32="Menor"),CONCATENATE("R5C",'Mapa final'!$O$32),"")</f>
        <v/>
      </c>
      <c r="T30" s="69" t="str">
        <f>IF(AND('Mapa final'!$Y$33="Media",'Mapa final'!$AA$33="Menor"),CONCATENATE("R5C",'Mapa final'!$O$33),"")</f>
        <v/>
      </c>
      <c r="U30" s="70" t="str">
        <f>IF(AND('Mapa final'!$Y$34="Media",'Mapa final'!$AA$34="Menor"),CONCATENATE("R5C",'Mapa final'!$O$34),"")</f>
        <v/>
      </c>
      <c r="V30" s="68" t="str">
        <f>IF(AND('Mapa final'!$Y$29="Media",'Mapa final'!$AA$29="Moderado"),CONCATENATE("R5C",'Mapa final'!$O$29),"")</f>
        <v/>
      </c>
      <c r="W30" s="69" t="str">
        <f>IF(AND('Mapa final'!$Y$30="Media",'Mapa final'!$AA$30="Moderado"),CONCATENATE("R5C",'Mapa final'!$O$30),"")</f>
        <v/>
      </c>
      <c r="X30" s="69" t="str">
        <f>IF(AND('Mapa final'!$Y$31="Media",'Mapa final'!$AA$31="Moderado"),CONCATENATE("R5C",'Mapa final'!$O$31),"")</f>
        <v/>
      </c>
      <c r="Y30" s="69" t="str">
        <f>IF(AND('Mapa final'!$Y$32="Media",'Mapa final'!$AA$32="Moderado"),CONCATENATE("R5C",'Mapa final'!$O$32),"")</f>
        <v/>
      </c>
      <c r="Z30" s="69" t="str">
        <f>IF(AND('Mapa final'!$Y$33="Media",'Mapa final'!$AA$33="Moderado"),CONCATENATE("R5C",'Mapa final'!$O$33),"")</f>
        <v/>
      </c>
      <c r="AA30" s="70" t="str">
        <f>IF(AND('Mapa final'!$Y$34="Media",'Mapa final'!$AA$34="Moderado"),CONCATENATE("R5C",'Mapa final'!$O$34),"")</f>
        <v/>
      </c>
      <c r="AB30" s="52" t="str">
        <f>IF(AND('Mapa final'!$Y$29="Media",'Mapa final'!$AA$29="Mayor"),CONCATENATE("R5C",'Mapa final'!$O$29),"")</f>
        <v/>
      </c>
      <c r="AC30" s="53" t="str">
        <f>IF(AND('Mapa final'!$Y$30="Media",'Mapa final'!$AA$30="Mayor"),CONCATENATE("R5C",'Mapa final'!$O$30),"")</f>
        <v/>
      </c>
      <c r="AD30" s="58" t="str">
        <f>IF(AND('Mapa final'!$Y$31="Media",'Mapa final'!$AA$31="Mayor"),CONCATENATE("R5C",'Mapa final'!$O$31),"")</f>
        <v/>
      </c>
      <c r="AE30" s="58" t="str">
        <f>IF(AND('Mapa final'!$Y$32="Media",'Mapa final'!$AA$32="Mayor"),CONCATENATE("R5C",'Mapa final'!$O$32),"")</f>
        <v/>
      </c>
      <c r="AF30" s="58" t="str">
        <f>IF(AND('Mapa final'!$Y$33="Media",'Mapa final'!$AA$33="Mayor"),CONCATENATE("R5C",'Mapa final'!$O$33),"")</f>
        <v/>
      </c>
      <c r="AG30" s="54" t="str">
        <f>IF(AND('Mapa final'!$Y$34="Media",'Mapa final'!$AA$34="Mayor"),CONCATENATE("R5C",'Mapa final'!$O$34),"")</f>
        <v/>
      </c>
      <c r="AH30" s="55" t="str">
        <f>IF(AND('Mapa final'!$Y$29="Media",'Mapa final'!$AA$29="Catastrófico"),CONCATENATE("R5C",'Mapa final'!$O$29),"")</f>
        <v/>
      </c>
      <c r="AI30" s="56" t="str">
        <f>IF(AND('Mapa final'!$Y$30="Media",'Mapa final'!$AA$30="Catastrófico"),CONCATENATE("R5C",'Mapa final'!$O$30),"")</f>
        <v/>
      </c>
      <c r="AJ30" s="56" t="str">
        <f>IF(AND('Mapa final'!$Y$31="Media",'Mapa final'!$AA$31="Catastrófico"),CONCATENATE("R5C",'Mapa final'!$O$31),"")</f>
        <v/>
      </c>
      <c r="AK30" s="56" t="str">
        <f>IF(AND('Mapa final'!$Y$32="Media",'Mapa final'!$AA$32="Catastrófico"),CONCATENATE("R5C",'Mapa final'!$O$32),"")</f>
        <v/>
      </c>
      <c r="AL30" s="56" t="str">
        <f>IF(AND('Mapa final'!$Y$33="Media",'Mapa final'!$AA$33="Catastrófico"),CONCATENATE("R5C",'Mapa final'!$O$33),"")</f>
        <v/>
      </c>
      <c r="AM30" s="57" t="str">
        <f>IF(AND('Mapa final'!$Y$34="Media",'Mapa final'!$AA$34="Catastrófico"),CONCATENATE("R5C",'Mapa final'!$O$34),"")</f>
        <v/>
      </c>
      <c r="AN30" s="84"/>
      <c r="AO30" s="387"/>
      <c r="AP30" s="388"/>
      <c r="AQ30" s="388"/>
      <c r="AR30" s="388"/>
      <c r="AS30" s="388"/>
      <c r="AT30" s="389"/>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305"/>
      <c r="C31" s="305"/>
      <c r="D31" s="306"/>
      <c r="E31" s="346"/>
      <c r="F31" s="347"/>
      <c r="G31" s="347"/>
      <c r="H31" s="347"/>
      <c r="I31" s="348"/>
      <c r="J31" s="68" t="str">
        <f>IF(AND('Mapa final'!$Y$35="Media",'Mapa final'!$AA$35="Leve"),CONCATENATE("R6C",'Mapa final'!$O$35),"")</f>
        <v/>
      </c>
      <c r="K31" s="69" t="str">
        <f>IF(AND('Mapa final'!$Y$36="Media",'Mapa final'!$AA$36="Leve"),CONCATENATE("R6C",'Mapa final'!$O$36),"")</f>
        <v/>
      </c>
      <c r="L31" s="69" t="str">
        <f>IF(AND('Mapa final'!$Y$37="Media",'Mapa final'!$AA$37="Leve"),CONCATENATE("R6C",'Mapa final'!$O$37),"")</f>
        <v/>
      </c>
      <c r="M31" s="69" t="str">
        <f>IF(AND('Mapa final'!$Y$38="Media",'Mapa final'!$AA$38="Leve"),CONCATENATE("R6C",'Mapa final'!$O$38),"")</f>
        <v/>
      </c>
      <c r="N31" s="69" t="str">
        <f>IF(AND('Mapa final'!$Y$39="Media",'Mapa final'!$AA$39="Leve"),CONCATENATE("R6C",'Mapa final'!$O$39),"")</f>
        <v/>
      </c>
      <c r="O31" s="70" t="str">
        <f>IF(AND('Mapa final'!$Y$40="Media",'Mapa final'!$AA$40="Leve"),CONCATENATE("R6C",'Mapa final'!$O$40),"")</f>
        <v/>
      </c>
      <c r="P31" s="68" t="str">
        <f>IF(AND('Mapa final'!$Y$35="Media",'Mapa final'!$AA$35="Menor"),CONCATENATE("R6C",'Mapa final'!$O$35),"")</f>
        <v/>
      </c>
      <c r="Q31" s="69" t="str">
        <f>IF(AND('Mapa final'!$Y$36="Media",'Mapa final'!$AA$36="Menor"),CONCATENATE("R6C",'Mapa final'!$O$36),"")</f>
        <v/>
      </c>
      <c r="R31" s="69" t="str">
        <f>IF(AND('Mapa final'!$Y$37="Media",'Mapa final'!$AA$37="Menor"),CONCATENATE("R6C",'Mapa final'!$O$37),"")</f>
        <v/>
      </c>
      <c r="S31" s="69" t="str">
        <f>IF(AND('Mapa final'!$Y$38="Media",'Mapa final'!$AA$38="Menor"),CONCATENATE("R6C",'Mapa final'!$O$38),"")</f>
        <v/>
      </c>
      <c r="T31" s="69" t="str">
        <f>IF(AND('Mapa final'!$Y$39="Media",'Mapa final'!$AA$39="Menor"),CONCATENATE("R6C",'Mapa final'!$O$39),"")</f>
        <v/>
      </c>
      <c r="U31" s="70" t="str">
        <f>IF(AND('Mapa final'!$Y$40="Media",'Mapa final'!$AA$40="Menor"),CONCATENATE("R6C",'Mapa final'!$O$40),"")</f>
        <v/>
      </c>
      <c r="V31" s="68" t="str">
        <f>IF(AND('Mapa final'!$Y$35="Media",'Mapa final'!$AA$35="Moderado"),CONCATENATE("R6C",'Mapa final'!$O$35),"")</f>
        <v/>
      </c>
      <c r="W31" s="69" t="str">
        <f>IF(AND('Mapa final'!$Y$36="Media",'Mapa final'!$AA$36="Moderado"),CONCATENATE("R6C",'Mapa final'!$O$36),"")</f>
        <v/>
      </c>
      <c r="X31" s="69" t="str">
        <f>IF(AND('Mapa final'!$Y$37="Media",'Mapa final'!$AA$37="Moderado"),CONCATENATE("R6C",'Mapa final'!$O$37),"")</f>
        <v/>
      </c>
      <c r="Y31" s="69" t="str">
        <f>IF(AND('Mapa final'!$Y$38="Media",'Mapa final'!$AA$38="Moderado"),CONCATENATE("R6C",'Mapa final'!$O$38),"")</f>
        <v/>
      </c>
      <c r="Z31" s="69" t="str">
        <f>IF(AND('Mapa final'!$Y$39="Media",'Mapa final'!$AA$39="Moderado"),CONCATENATE("R6C",'Mapa final'!$O$39),"")</f>
        <v/>
      </c>
      <c r="AA31" s="70" t="str">
        <f>IF(AND('Mapa final'!$Y$40="Media",'Mapa final'!$AA$40="Moderado"),CONCATENATE("R6C",'Mapa final'!$O$40),"")</f>
        <v/>
      </c>
      <c r="AB31" s="52" t="str">
        <f>IF(AND('Mapa final'!$Y$35="Media",'Mapa final'!$AA$35="Mayor"),CONCATENATE("R6C",'Mapa final'!$O$35),"")</f>
        <v/>
      </c>
      <c r="AC31" s="53" t="str">
        <f>IF(AND('Mapa final'!$Y$36="Media",'Mapa final'!$AA$36="Mayor"),CONCATENATE("R6C",'Mapa final'!$O$36),"")</f>
        <v/>
      </c>
      <c r="AD31" s="58" t="str">
        <f>IF(AND('Mapa final'!$Y$37="Media",'Mapa final'!$AA$37="Mayor"),CONCATENATE("R6C",'Mapa final'!$O$37),"")</f>
        <v/>
      </c>
      <c r="AE31" s="58" t="str">
        <f>IF(AND('Mapa final'!$Y$38="Media",'Mapa final'!$AA$38="Mayor"),CONCATENATE("R6C",'Mapa final'!$O$38),"")</f>
        <v/>
      </c>
      <c r="AF31" s="58" t="str">
        <f>IF(AND('Mapa final'!$Y$39="Media",'Mapa final'!$AA$39="Mayor"),CONCATENATE("R6C",'Mapa final'!$O$39),"")</f>
        <v/>
      </c>
      <c r="AG31" s="54" t="str">
        <f>IF(AND('Mapa final'!$Y$40="Media",'Mapa final'!$AA$40="Mayor"),CONCATENATE("R6C",'Mapa final'!$O$40),"")</f>
        <v/>
      </c>
      <c r="AH31" s="55" t="str">
        <f>IF(AND('Mapa final'!$Y$35="Media",'Mapa final'!$AA$35="Catastrófico"),CONCATENATE("R6C",'Mapa final'!$O$35),"")</f>
        <v/>
      </c>
      <c r="AI31" s="56" t="str">
        <f>IF(AND('Mapa final'!$Y$36="Media",'Mapa final'!$AA$36="Catastrófico"),CONCATENATE("R6C",'Mapa final'!$O$36),"")</f>
        <v/>
      </c>
      <c r="AJ31" s="56" t="str">
        <f>IF(AND('Mapa final'!$Y$37="Media",'Mapa final'!$AA$37="Catastrófico"),CONCATENATE("R6C",'Mapa final'!$O$37),"")</f>
        <v/>
      </c>
      <c r="AK31" s="56" t="str">
        <f>IF(AND('Mapa final'!$Y$38="Media",'Mapa final'!$AA$38="Catastrófico"),CONCATENATE("R6C",'Mapa final'!$O$38),"")</f>
        <v/>
      </c>
      <c r="AL31" s="56" t="str">
        <f>IF(AND('Mapa final'!$Y$39="Media",'Mapa final'!$AA$39="Catastrófico"),CONCATENATE("R6C",'Mapa final'!$O$39),"")</f>
        <v/>
      </c>
      <c r="AM31" s="57" t="str">
        <f>IF(AND('Mapa final'!$Y$40="Media",'Mapa final'!$AA$40="Catastrófico"),CONCATENATE("R6C",'Mapa final'!$O$40),"")</f>
        <v/>
      </c>
      <c r="AN31" s="84"/>
      <c r="AO31" s="387"/>
      <c r="AP31" s="388"/>
      <c r="AQ31" s="388"/>
      <c r="AR31" s="388"/>
      <c r="AS31" s="388"/>
      <c r="AT31" s="389"/>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305"/>
      <c r="C32" s="305"/>
      <c r="D32" s="306"/>
      <c r="E32" s="346"/>
      <c r="F32" s="347"/>
      <c r="G32" s="347"/>
      <c r="H32" s="347"/>
      <c r="I32" s="348"/>
      <c r="J32" s="68" t="str">
        <f>IF(AND('Mapa final'!$Y$41="Media",'Mapa final'!$AA$41="Leve"),CONCATENATE("R7C",'Mapa final'!$O$41),"")</f>
        <v/>
      </c>
      <c r="K32" s="69" t="str">
        <f>IF(AND('Mapa final'!$Y$42="Media",'Mapa final'!$AA$42="Leve"),CONCATENATE("R7C",'Mapa final'!$O$42),"")</f>
        <v/>
      </c>
      <c r="L32" s="69" t="str">
        <f>IF(AND('Mapa final'!$Y$43="Media",'Mapa final'!$AA$43="Leve"),CONCATENATE("R7C",'Mapa final'!$O$43),"")</f>
        <v/>
      </c>
      <c r="M32" s="69" t="str">
        <f>IF(AND('Mapa final'!$Y$44="Media",'Mapa final'!$AA$44="Leve"),CONCATENATE("R7C",'Mapa final'!$O$44),"")</f>
        <v/>
      </c>
      <c r="N32" s="69" t="str">
        <f>IF(AND('Mapa final'!$Y$45="Media",'Mapa final'!$AA$45="Leve"),CONCATENATE("R7C",'Mapa final'!$O$45),"")</f>
        <v/>
      </c>
      <c r="O32" s="70" t="str">
        <f>IF(AND('Mapa final'!$Y$46="Media",'Mapa final'!$AA$46="Leve"),CONCATENATE("R7C",'Mapa final'!$O$46),"")</f>
        <v/>
      </c>
      <c r="P32" s="68" t="str">
        <f>IF(AND('Mapa final'!$Y$41="Media",'Mapa final'!$AA$41="Menor"),CONCATENATE("R7C",'Mapa final'!$O$41),"")</f>
        <v/>
      </c>
      <c r="Q32" s="69" t="str">
        <f>IF(AND('Mapa final'!$Y$42="Media",'Mapa final'!$AA$42="Menor"),CONCATENATE("R7C",'Mapa final'!$O$42),"")</f>
        <v/>
      </c>
      <c r="R32" s="69" t="str">
        <f>IF(AND('Mapa final'!$Y$43="Media",'Mapa final'!$AA$43="Menor"),CONCATENATE("R7C",'Mapa final'!$O$43),"")</f>
        <v/>
      </c>
      <c r="S32" s="69" t="str">
        <f>IF(AND('Mapa final'!$Y$44="Media",'Mapa final'!$AA$44="Menor"),CONCATENATE("R7C",'Mapa final'!$O$44),"")</f>
        <v/>
      </c>
      <c r="T32" s="69" t="str">
        <f>IF(AND('Mapa final'!$Y$45="Media",'Mapa final'!$AA$45="Menor"),CONCATENATE("R7C",'Mapa final'!$O$45),"")</f>
        <v/>
      </c>
      <c r="U32" s="70" t="str">
        <f>IF(AND('Mapa final'!$Y$46="Media",'Mapa final'!$AA$46="Menor"),CONCATENATE("R7C",'Mapa final'!$O$46),"")</f>
        <v/>
      </c>
      <c r="V32" s="68" t="str">
        <f>IF(AND('Mapa final'!$Y$41="Media",'Mapa final'!$AA$41="Moderado"),CONCATENATE("R7C",'Mapa final'!$O$41),"")</f>
        <v/>
      </c>
      <c r="W32" s="69" t="str">
        <f>IF(AND('Mapa final'!$Y$42="Media",'Mapa final'!$AA$42="Moderado"),CONCATENATE("R7C",'Mapa final'!$O$42),"")</f>
        <v/>
      </c>
      <c r="X32" s="69" t="str">
        <f>IF(AND('Mapa final'!$Y$43="Media",'Mapa final'!$AA$43="Moderado"),CONCATENATE("R7C",'Mapa final'!$O$43),"")</f>
        <v/>
      </c>
      <c r="Y32" s="69" t="str">
        <f>IF(AND('Mapa final'!$Y$44="Media",'Mapa final'!$AA$44="Moderado"),CONCATENATE("R7C",'Mapa final'!$O$44),"")</f>
        <v/>
      </c>
      <c r="Z32" s="69" t="str">
        <f>IF(AND('Mapa final'!$Y$45="Media",'Mapa final'!$AA$45="Moderado"),CONCATENATE("R7C",'Mapa final'!$O$45),"")</f>
        <v/>
      </c>
      <c r="AA32" s="70" t="str">
        <f>IF(AND('Mapa final'!$Y$46="Media",'Mapa final'!$AA$46="Moderado"),CONCATENATE("R7C",'Mapa final'!$O$46),"")</f>
        <v/>
      </c>
      <c r="AB32" s="52" t="str">
        <f>IF(AND('Mapa final'!$Y$41="Media",'Mapa final'!$AA$41="Mayor"),CONCATENATE("R7C",'Mapa final'!$O$41),"")</f>
        <v/>
      </c>
      <c r="AC32" s="53" t="str">
        <f>IF(AND('Mapa final'!$Y$42="Media",'Mapa final'!$AA$42="Mayor"),CONCATENATE("R7C",'Mapa final'!$O$42),"")</f>
        <v/>
      </c>
      <c r="AD32" s="58" t="str">
        <f>IF(AND('Mapa final'!$Y$43="Media",'Mapa final'!$AA$43="Mayor"),CONCATENATE("R7C",'Mapa final'!$O$43),"")</f>
        <v/>
      </c>
      <c r="AE32" s="58" t="str">
        <f>IF(AND('Mapa final'!$Y$44="Media",'Mapa final'!$AA$44="Mayor"),CONCATENATE("R7C",'Mapa final'!$O$44),"")</f>
        <v/>
      </c>
      <c r="AF32" s="58" t="str">
        <f>IF(AND('Mapa final'!$Y$45="Media",'Mapa final'!$AA$45="Mayor"),CONCATENATE("R7C",'Mapa final'!$O$45),"")</f>
        <v/>
      </c>
      <c r="AG32" s="54" t="str">
        <f>IF(AND('Mapa final'!$Y$46="Media",'Mapa final'!$AA$46="Mayor"),CONCATENATE("R7C",'Mapa final'!$O$46),"")</f>
        <v/>
      </c>
      <c r="AH32" s="55" t="str">
        <f>IF(AND('Mapa final'!$Y$41="Media",'Mapa final'!$AA$41="Catastrófico"),CONCATENATE("R7C",'Mapa final'!$O$41),"")</f>
        <v/>
      </c>
      <c r="AI32" s="56" t="str">
        <f>IF(AND('Mapa final'!$Y$42="Media",'Mapa final'!$AA$42="Catastrófico"),CONCATENATE("R7C",'Mapa final'!$O$42),"")</f>
        <v/>
      </c>
      <c r="AJ32" s="56" t="str">
        <f>IF(AND('Mapa final'!$Y$43="Media",'Mapa final'!$AA$43="Catastrófico"),CONCATENATE("R7C",'Mapa final'!$O$43),"")</f>
        <v/>
      </c>
      <c r="AK32" s="56" t="str">
        <f>IF(AND('Mapa final'!$Y$44="Media",'Mapa final'!$AA$44="Catastrófico"),CONCATENATE("R7C",'Mapa final'!$O$44),"")</f>
        <v/>
      </c>
      <c r="AL32" s="56" t="str">
        <f>IF(AND('Mapa final'!$Y$45="Media",'Mapa final'!$AA$45="Catastrófico"),CONCATENATE("R7C",'Mapa final'!$O$45),"")</f>
        <v/>
      </c>
      <c r="AM32" s="57" t="str">
        <f>IF(AND('Mapa final'!$Y$46="Media",'Mapa final'!$AA$46="Catastrófico"),CONCATENATE("R7C",'Mapa final'!$O$46),"")</f>
        <v/>
      </c>
      <c r="AN32" s="84"/>
      <c r="AO32" s="387"/>
      <c r="AP32" s="388"/>
      <c r="AQ32" s="388"/>
      <c r="AR32" s="388"/>
      <c r="AS32" s="388"/>
      <c r="AT32" s="389"/>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305"/>
      <c r="C33" s="305"/>
      <c r="D33" s="306"/>
      <c r="E33" s="346"/>
      <c r="F33" s="347"/>
      <c r="G33" s="347"/>
      <c r="H33" s="347"/>
      <c r="I33" s="348"/>
      <c r="J33" s="68" t="str">
        <f>IF(AND('Mapa final'!$Y$47="Media",'Mapa final'!$AA$47="Leve"),CONCATENATE("R8C",'Mapa final'!$O$47),"")</f>
        <v/>
      </c>
      <c r="K33" s="69" t="str">
        <f>IF(AND('Mapa final'!$Y$48="Media",'Mapa final'!$AA$48="Leve"),CONCATENATE("R8C",'Mapa final'!$O$48),"")</f>
        <v/>
      </c>
      <c r="L33" s="69" t="str">
        <f>IF(AND('Mapa final'!$Y$49="Media",'Mapa final'!$AA$49="Leve"),CONCATENATE("R8C",'Mapa final'!$O$49),"")</f>
        <v/>
      </c>
      <c r="M33" s="69" t="str">
        <f>IF(AND('Mapa final'!$Y$50="Media",'Mapa final'!$AA$50="Leve"),CONCATENATE("R8C",'Mapa final'!$O$50),"")</f>
        <v/>
      </c>
      <c r="N33" s="69" t="str">
        <f>IF(AND('Mapa final'!$Y$51="Media",'Mapa final'!$AA$51="Leve"),CONCATENATE("R8C",'Mapa final'!$O$51),"")</f>
        <v/>
      </c>
      <c r="O33" s="70" t="str">
        <f>IF(AND('Mapa final'!$Y$52="Media",'Mapa final'!$AA$52="Leve"),CONCATENATE("R8C",'Mapa final'!$O$52),"")</f>
        <v/>
      </c>
      <c r="P33" s="68" t="str">
        <f>IF(AND('Mapa final'!$Y$47="Media",'Mapa final'!$AA$47="Menor"),CONCATENATE("R8C",'Mapa final'!$O$47),"")</f>
        <v/>
      </c>
      <c r="Q33" s="69" t="str">
        <f>IF(AND('Mapa final'!$Y$48="Media",'Mapa final'!$AA$48="Menor"),CONCATENATE("R8C",'Mapa final'!$O$48),"")</f>
        <v/>
      </c>
      <c r="R33" s="69" t="str">
        <f>IF(AND('Mapa final'!$Y$49="Media",'Mapa final'!$AA$49="Menor"),CONCATENATE("R8C",'Mapa final'!$O$49),"")</f>
        <v/>
      </c>
      <c r="S33" s="69" t="str">
        <f>IF(AND('Mapa final'!$Y$50="Media",'Mapa final'!$AA$50="Menor"),CONCATENATE("R8C",'Mapa final'!$O$50),"")</f>
        <v/>
      </c>
      <c r="T33" s="69" t="str">
        <f>IF(AND('Mapa final'!$Y$51="Media",'Mapa final'!$AA$51="Menor"),CONCATENATE("R8C",'Mapa final'!$O$51),"")</f>
        <v/>
      </c>
      <c r="U33" s="70" t="str">
        <f>IF(AND('Mapa final'!$Y$52="Media",'Mapa final'!$AA$52="Menor"),CONCATENATE("R8C",'Mapa final'!$O$52),"")</f>
        <v/>
      </c>
      <c r="V33" s="68" t="str">
        <f>IF(AND('Mapa final'!$Y$47="Media",'Mapa final'!$AA$47="Moderado"),CONCATENATE("R8C",'Mapa final'!$O$47),"")</f>
        <v/>
      </c>
      <c r="W33" s="69" t="str">
        <f>IF(AND('Mapa final'!$Y$48="Media",'Mapa final'!$AA$48="Moderado"),CONCATENATE("R8C",'Mapa final'!$O$48),"")</f>
        <v/>
      </c>
      <c r="X33" s="69" t="str">
        <f>IF(AND('Mapa final'!$Y$49="Media",'Mapa final'!$AA$49="Moderado"),CONCATENATE("R8C",'Mapa final'!$O$49),"")</f>
        <v/>
      </c>
      <c r="Y33" s="69" t="str">
        <f>IF(AND('Mapa final'!$Y$50="Media",'Mapa final'!$AA$50="Moderado"),CONCATENATE("R8C",'Mapa final'!$O$50),"")</f>
        <v/>
      </c>
      <c r="Z33" s="69" t="str">
        <f>IF(AND('Mapa final'!$Y$51="Media",'Mapa final'!$AA$51="Moderado"),CONCATENATE("R8C",'Mapa final'!$O$51),"")</f>
        <v/>
      </c>
      <c r="AA33" s="70" t="str">
        <f>IF(AND('Mapa final'!$Y$52="Media",'Mapa final'!$AA$52="Moderado"),CONCATENATE("R8C",'Mapa final'!$O$52),"")</f>
        <v/>
      </c>
      <c r="AB33" s="52" t="str">
        <f>IF(AND('Mapa final'!$Y$47="Media",'Mapa final'!$AA$47="Mayor"),CONCATENATE("R8C",'Mapa final'!$O$47),"")</f>
        <v/>
      </c>
      <c r="AC33" s="53" t="str">
        <f>IF(AND('Mapa final'!$Y$48="Media",'Mapa final'!$AA$48="Mayor"),CONCATENATE("R8C",'Mapa final'!$O$48),"")</f>
        <v/>
      </c>
      <c r="AD33" s="58" t="str">
        <f>IF(AND('Mapa final'!$Y$49="Media",'Mapa final'!$AA$49="Mayor"),CONCATENATE("R8C",'Mapa final'!$O$49),"")</f>
        <v/>
      </c>
      <c r="AE33" s="58" t="str">
        <f>IF(AND('Mapa final'!$Y$50="Media",'Mapa final'!$AA$50="Mayor"),CONCATENATE("R8C",'Mapa final'!$O$50),"")</f>
        <v/>
      </c>
      <c r="AF33" s="58" t="str">
        <f>IF(AND('Mapa final'!$Y$51="Media",'Mapa final'!$AA$51="Mayor"),CONCATENATE("R8C",'Mapa final'!$O$51),"")</f>
        <v/>
      </c>
      <c r="AG33" s="54" t="str">
        <f>IF(AND('Mapa final'!$Y$52="Media",'Mapa final'!$AA$52="Mayor"),CONCATENATE("R8C",'Mapa final'!$O$52),"")</f>
        <v/>
      </c>
      <c r="AH33" s="55" t="str">
        <f>IF(AND('Mapa final'!$Y$47="Media",'Mapa final'!$AA$47="Catastrófico"),CONCATENATE("R8C",'Mapa final'!$O$47),"")</f>
        <v/>
      </c>
      <c r="AI33" s="56" t="str">
        <f>IF(AND('Mapa final'!$Y$48="Media",'Mapa final'!$AA$48="Catastrófico"),CONCATENATE("R8C",'Mapa final'!$O$48),"")</f>
        <v/>
      </c>
      <c r="AJ33" s="56" t="str">
        <f>IF(AND('Mapa final'!$Y$49="Media",'Mapa final'!$AA$49="Catastrófico"),CONCATENATE("R8C",'Mapa final'!$O$49),"")</f>
        <v/>
      </c>
      <c r="AK33" s="56" t="str">
        <f>IF(AND('Mapa final'!$Y$50="Media",'Mapa final'!$AA$50="Catastrófico"),CONCATENATE("R8C",'Mapa final'!$O$50),"")</f>
        <v/>
      </c>
      <c r="AL33" s="56" t="str">
        <f>IF(AND('Mapa final'!$Y$51="Media",'Mapa final'!$AA$51="Catastrófico"),CONCATENATE("R8C",'Mapa final'!$O$51),"")</f>
        <v/>
      </c>
      <c r="AM33" s="57" t="str">
        <f>IF(AND('Mapa final'!$Y$52="Media",'Mapa final'!$AA$52="Catastrófico"),CONCATENATE("R8C",'Mapa final'!$O$52),"")</f>
        <v/>
      </c>
      <c r="AN33" s="84"/>
      <c r="AO33" s="387"/>
      <c r="AP33" s="388"/>
      <c r="AQ33" s="388"/>
      <c r="AR33" s="388"/>
      <c r="AS33" s="388"/>
      <c r="AT33" s="389"/>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305"/>
      <c r="C34" s="305"/>
      <c r="D34" s="306"/>
      <c r="E34" s="346"/>
      <c r="F34" s="347"/>
      <c r="G34" s="347"/>
      <c r="H34" s="347"/>
      <c r="I34" s="348"/>
      <c r="J34" s="68" t="str">
        <f>IF(AND('Mapa final'!$Y$53="Media",'Mapa final'!$AA$53="Leve"),CONCATENATE("R9C",'Mapa final'!$O$53),"")</f>
        <v/>
      </c>
      <c r="K34" s="69" t="str">
        <f>IF(AND('Mapa final'!$Y$54="Media",'Mapa final'!$AA$54="Leve"),CONCATENATE("R9C",'Mapa final'!$O$54),"")</f>
        <v/>
      </c>
      <c r="L34" s="69" t="str">
        <f>IF(AND('Mapa final'!$Y$55="Media",'Mapa final'!$AA$55="Leve"),CONCATENATE("R9C",'Mapa final'!$O$55),"")</f>
        <v/>
      </c>
      <c r="M34" s="69" t="str">
        <f>IF(AND('Mapa final'!$Y$56="Media",'Mapa final'!$AA$56="Leve"),CONCATENATE("R9C",'Mapa final'!$O$56),"")</f>
        <v/>
      </c>
      <c r="N34" s="69" t="str">
        <f>IF(AND('Mapa final'!$Y$57="Media",'Mapa final'!$AA$57="Leve"),CONCATENATE("R9C",'Mapa final'!$O$57),"")</f>
        <v/>
      </c>
      <c r="O34" s="70" t="str">
        <f>IF(AND('Mapa final'!$Y$58="Media",'Mapa final'!$AA$58="Leve"),CONCATENATE("R9C",'Mapa final'!$O$58),"")</f>
        <v/>
      </c>
      <c r="P34" s="68" t="str">
        <f>IF(AND('Mapa final'!$Y$53="Media",'Mapa final'!$AA$53="Menor"),CONCATENATE("R9C",'Mapa final'!$O$53),"")</f>
        <v/>
      </c>
      <c r="Q34" s="69" t="str">
        <f>IF(AND('Mapa final'!$Y$54="Media",'Mapa final'!$AA$54="Menor"),CONCATENATE("R9C",'Mapa final'!$O$54),"")</f>
        <v/>
      </c>
      <c r="R34" s="69" t="str">
        <f>IF(AND('Mapa final'!$Y$55="Media",'Mapa final'!$AA$55="Menor"),CONCATENATE("R9C",'Mapa final'!$O$55),"")</f>
        <v/>
      </c>
      <c r="S34" s="69" t="str">
        <f>IF(AND('Mapa final'!$Y$56="Media",'Mapa final'!$AA$56="Menor"),CONCATENATE("R9C",'Mapa final'!$O$56),"")</f>
        <v/>
      </c>
      <c r="T34" s="69" t="str">
        <f>IF(AND('Mapa final'!$Y$57="Media",'Mapa final'!$AA$57="Menor"),CONCATENATE("R9C",'Mapa final'!$O$57),"")</f>
        <v/>
      </c>
      <c r="U34" s="70" t="str">
        <f>IF(AND('Mapa final'!$Y$58="Media",'Mapa final'!$AA$58="Menor"),CONCATENATE("R9C",'Mapa final'!$O$58),"")</f>
        <v/>
      </c>
      <c r="V34" s="68" t="str">
        <f>IF(AND('Mapa final'!$Y$53="Media",'Mapa final'!$AA$53="Moderado"),CONCATENATE("R9C",'Mapa final'!$O$53),"")</f>
        <v/>
      </c>
      <c r="W34" s="69" t="str">
        <f>IF(AND('Mapa final'!$Y$54="Media",'Mapa final'!$AA$54="Moderado"),CONCATENATE("R9C",'Mapa final'!$O$54),"")</f>
        <v/>
      </c>
      <c r="X34" s="69" t="str">
        <f>IF(AND('Mapa final'!$Y$55="Media",'Mapa final'!$AA$55="Moderado"),CONCATENATE("R9C",'Mapa final'!$O$55),"")</f>
        <v/>
      </c>
      <c r="Y34" s="69" t="str">
        <f>IF(AND('Mapa final'!$Y$56="Media",'Mapa final'!$AA$56="Moderado"),CONCATENATE("R9C",'Mapa final'!$O$56),"")</f>
        <v/>
      </c>
      <c r="Z34" s="69" t="str">
        <f>IF(AND('Mapa final'!$Y$57="Media",'Mapa final'!$AA$57="Moderado"),CONCATENATE("R9C",'Mapa final'!$O$57),"")</f>
        <v/>
      </c>
      <c r="AA34" s="70" t="str">
        <f>IF(AND('Mapa final'!$Y$58="Media",'Mapa final'!$AA$58="Moderado"),CONCATENATE("R9C",'Mapa final'!$O$58),"")</f>
        <v/>
      </c>
      <c r="AB34" s="52" t="str">
        <f>IF(AND('Mapa final'!$Y$53="Media",'Mapa final'!$AA$53="Mayor"),CONCATENATE("R9C",'Mapa final'!$O$53),"")</f>
        <v/>
      </c>
      <c r="AC34" s="53" t="str">
        <f>IF(AND('Mapa final'!$Y$54="Media",'Mapa final'!$AA$54="Mayor"),CONCATENATE("R9C",'Mapa final'!$O$54),"")</f>
        <v/>
      </c>
      <c r="AD34" s="58" t="str">
        <f>IF(AND('Mapa final'!$Y$55="Media",'Mapa final'!$AA$55="Mayor"),CONCATENATE("R9C",'Mapa final'!$O$55),"")</f>
        <v/>
      </c>
      <c r="AE34" s="58" t="str">
        <f>IF(AND('Mapa final'!$Y$56="Media",'Mapa final'!$AA$56="Mayor"),CONCATENATE("R9C",'Mapa final'!$O$56),"")</f>
        <v/>
      </c>
      <c r="AF34" s="58" t="str">
        <f>IF(AND('Mapa final'!$Y$57="Media",'Mapa final'!$AA$57="Mayor"),CONCATENATE("R9C",'Mapa final'!$O$57),"")</f>
        <v/>
      </c>
      <c r="AG34" s="54" t="str">
        <f>IF(AND('Mapa final'!$Y$58="Media",'Mapa final'!$AA$58="Mayor"),CONCATENATE("R9C",'Mapa final'!$O$58),"")</f>
        <v/>
      </c>
      <c r="AH34" s="55" t="str">
        <f>IF(AND('Mapa final'!$Y$53="Media",'Mapa final'!$AA$53="Catastrófico"),CONCATENATE("R9C",'Mapa final'!$O$53),"")</f>
        <v/>
      </c>
      <c r="AI34" s="56" t="str">
        <f>IF(AND('Mapa final'!$Y$54="Media",'Mapa final'!$AA$54="Catastrófico"),CONCATENATE("R9C",'Mapa final'!$O$54),"")</f>
        <v/>
      </c>
      <c r="AJ34" s="56" t="str">
        <f>IF(AND('Mapa final'!$Y$55="Media",'Mapa final'!$AA$55="Catastrófico"),CONCATENATE("R9C",'Mapa final'!$O$55),"")</f>
        <v/>
      </c>
      <c r="AK34" s="56" t="str">
        <f>IF(AND('Mapa final'!$Y$56="Media",'Mapa final'!$AA$56="Catastrófico"),CONCATENATE("R9C",'Mapa final'!$O$56),"")</f>
        <v/>
      </c>
      <c r="AL34" s="56" t="str">
        <f>IF(AND('Mapa final'!$Y$57="Media",'Mapa final'!$AA$57="Catastrófico"),CONCATENATE("R9C",'Mapa final'!$O$57),"")</f>
        <v/>
      </c>
      <c r="AM34" s="57" t="str">
        <f>IF(AND('Mapa final'!$Y$58="Media",'Mapa final'!$AA$58="Catastrófico"),CONCATENATE("R9C",'Mapa final'!$O$58),"")</f>
        <v/>
      </c>
      <c r="AN34" s="84"/>
      <c r="AO34" s="387"/>
      <c r="AP34" s="388"/>
      <c r="AQ34" s="388"/>
      <c r="AR34" s="388"/>
      <c r="AS34" s="388"/>
      <c r="AT34" s="389"/>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305"/>
      <c r="C35" s="305"/>
      <c r="D35" s="306"/>
      <c r="E35" s="349"/>
      <c r="F35" s="350"/>
      <c r="G35" s="350"/>
      <c r="H35" s="350"/>
      <c r="I35" s="351"/>
      <c r="J35" s="68" t="str">
        <f>IF(AND('Mapa final'!$Y$59="Media",'Mapa final'!$AA$59="Leve"),CONCATENATE("R10C",'Mapa final'!$O$59),"")</f>
        <v/>
      </c>
      <c r="K35" s="69" t="str">
        <f>IF(AND('Mapa final'!$Y$60="Media",'Mapa final'!$AA$60="Leve"),CONCATENATE("R10C",'Mapa final'!$O$60),"")</f>
        <v/>
      </c>
      <c r="L35" s="69" t="str">
        <f>IF(AND('Mapa final'!$Y$61="Media",'Mapa final'!$AA$61="Leve"),CONCATENATE("R10C",'Mapa final'!$O$61),"")</f>
        <v/>
      </c>
      <c r="M35" s="69" t="str">
        <f>IF(AND('Mapa final'!$Y$62="Media",'Mapa final'!$AA$62="Leve"),CONCATENATE("R10C",'Mapa final'!$O$62),"")</f>
        <v/>
      </c>
      <c r="N35" s="69" t="str">
        <f>IF(AND('Mapa final'!$Y$63="Media",'Mapa final'!$AA$63="Leve"),CONCATENATE("R10C",'Mapa final'!$O$63),"")</f>
        <v/>
      </c>
      <c r="O35" s="70" t="str">
        <f>IF(AND('Mapa final'!$Y$64="Media",'Mapa final'!$AA$64="Leve"),CONCATENATE("R10C",'Mapa final'!$O$64),"")</f>
        <v/>
      </c>
      <c r="P35" s="68" t="str">
        <f>IF(AND('Mapa final'!$Y$59="Media",'Mapa final'!$AA$59="Menor"),CONCATENATE("R10C",'Mapa final'!$O$59),"")</f>
        <v/>
      </c>
      <c r="Q35" s="69" t="str">
        <f>IF(AND('Mapa final'!$Y$60="Media",'Mapa final'!$AA$60="Menor"),CONCATENATE("R10C",'Mapa final'!$O$60),"")</f>
        <v/>
      </c>
      <c r="R35" s="69" t="str">
        <f>IF(AND('Mapa final'!$Y$61="Media",'Mapa final'!$AA$61="Menor"),CONCATENATE("R10C",'Mapa final'!$O$61),"")</f>
        <v/>
      </c>
      <c r="S35" s="69" t="str">
        <f>IF(AND('Mapa final'!$Y$62="Media",'Mapa final'!$AA$62="Menor"),CONCATENATE("R10C",'Mapa final'!$O$62),"")</f>
        <v/>
      </c>
      <c r="T35" s="69" t="str">
        <f>IF(AND('Mapa final'!$Y$63="Media",'Mapa final'!$AA$63="Menor"),CONCATENATE("R10C",'Mapa final'!$O$63),"")</f>
        <v/>
      </c>
      <c r="U35" s="70" t="str">
        <f>IF(AND('Mapa final'!$Y$64="Media",'Mapa final'!$AA$64="Menor"),CONCATENATE("R10C",'Mapa final'!$O$64),"")</f>
        <v/>
      </c>
      <c r="V35" s="68" t="str">
        <f>IF(AND('Mapa final'!$Y$59="Media",'Mapa final'!$AA$59="Moderado"),CONCATENATE("R10C",'Mapa final'!$O$59),"")</f>
        <v/>
      </c>
      <c r="W35" s="69" t="str">
        <f>IF(AND('Mapa final'!$Y$60="Media",'Mapa final'!$AA$60="Moderado"),CONCATENATE("R10C",'Mapa final'!$O$60),"")</f>
        <v/>
      </c>
      <c r="X35" s="69" t="str">
        <f>IF(AND('Mapa final'!$Y$61="Media",'Mapa final'!$AA$61="Moderado"),CONCATENATE("R10C",'Mapa final'!$O$61),"")</f>
        <v/>
      </c>
      <c r="Y35" s="69" t="str">
        <f>IF(AND('Mapa final'!$Y$62="Media",'Mapa final'!$AA$62="Moderado"),CONCATENATE("R10C",'Mapa final'!$O$62),"")</f>
        <v/>
      </c>
      <c r="Z35" s="69" t="str">
        <f>IF(AND('Mapa final'!$Y$63="Media",'Mapa final'!$AA$63="Moderado"),CONCATENATE("R10C",'Mapa final'!$O$63),"")</f>
        <v/>
      </c>
      <c r="AA35" s="70" t="str">
        <f>IF(AND('Mapa final'!$Y$64="Media",'Mapa final'!$AA$64="Moderado"),CONCATENATE("R10C",'Mapa final'!$O$64),"")</f>
        <v/>
      </c>
      <c r="AB35" s="59" t="str">
        <f>IF(AND('Mapa final'!$Y$59="Media",'Mapa final'!$AA$59="Mayor"),CONCATENATE("R10C",'Mapa final'!$O$59),"")</f>
        <v/>
      </c>
      <c r="AC35" s="60" t="str">
        <f>IF(AND('Mapa final'!$Y$60="Media",'Mapa final'!$AA$60="Mayor"),CONCATENATE("R10C",'Mapa final'!$O$60),"")</f>
        <v/>
      </c>
      <c r="AD35" s="60" t="str">
        <f>IF(AND('Mapa final'!$Y$61="Media",'Mapa final'!$AA$61="Mayor"),CONCATENATE("R10C",'Mapa final'!$O$61),"")</f>
        <v/>
      </c>
      <c r="AE35" s="60" t="str">
        <f>IF(AND('Mapa final'!$Y$62="Media",'Mapa final'!$AA$62="Mayor"),CONCATENATE("R10C",'Mapa final'!$O$62),"")</f>
        <v/>
      </c>
      <c r="AF35" s="60" t="str">
        <f>IF(AND('Mapa final'!$Y$63="Media",'Mapa final'!$AA$63="Mayor"),CONCATENATE("R10C",'Mapa final'!$O$63),"")</f>
        <v/>
      </c>
      <c r="AG35" s="61" t="str">
        <f>IF(AND('Mapa final'!$Y$64="Media",'Mapa final'!$AA$64="Mayor"),CONCATENATE("R10C",'Mapa final'!$O$64),"")</f>
        <v/>
      </c>
      <c r="AH35" s="62" t="str">
        <f>IF(AND('Mapa final'!$Y$59="Media",'Mapa final'!$AA$59="Catastrófico"),CONCATENATE("R10C",'Mapa final'!$O$59),"")</f>
        <v/>
      </c>
      <c r="AI35" s="63" t="str">
        <f>IF(AND('Mapa final'!$Y$60="Media",'Mapa final'!$AA$60="Catastrófico"),CONCATENATE("R10C",'Mapa final'!$O$60),"")</f>
        <v/>
      </c>
      <c r="AJ35" s="63" t="str">
        <f>IF(AND('Mapa final'!$Y$61="Media",'Mapa final'!$AA$61="Catastrófico"),CONCATENATE("R10C",'Mapa final'!$O$61),"")</f>
        <v/>
      </c>
      <c r="AK35" s="63" t="str">
        <f>IF(AND('Mapa final'!$Y$62="Media",'Mapa final'!$AA$62="Catastrófico"),CONCATENATE("R10C",'Mapa final'!$O$62),"")</f>
        <v/>
      </c>
      <c r="AL35" s="63" t="str">
        <f>IF(AND('Mapa final'!$Y$63="Media",'Mapa final'!$AA$63="Catastrófico"),CONCATENATE("R10C",'Mapa final'!$O$63),"")</f>
        <v/>
      </c>
      <c r="AM35" s="64" t="str">
        <f>IF(AND('Mapa final'!$Y$64="Media",'Mapa final'!$AA$64="Catastrófico"),CONCATENATE("R10C",'Mapa final'!$O$64),"")</f>
        <v/>
      </c>
      <c r="AN35" s="84"/>
      <c r="AO35" s="390"/>
      <c r="AP35" s="391"/>
      <c r="AQ35" s="391"/>
      <c r="AR35" s="391"/>
      <c r="AS35" s="391"/>
      <c r="AT35" s="392"/>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305"/>
      <c r="C36" s="305"/>
      <c r="D36" s="306"/>
      <c r="E36" s="343" t="s">
        <v>114</v>
      </c>
      <c r="F36" s="344"/>
      <c r="G36" s="344"/>
      <c r="H36" s="344"/>
      <c r="I36" s="344"/>
      <c r="J36" s="74" t="str">
        <f>IF(AND('Mapa final'!$Y$10="Baja",'Mapa final'!$AA$10="Leve"),CONCATENATE("R1C",'Mapa final'!$O$10),"")</f>
        <v/>
      </c>
      <c r="K36" s="75" t="str">
        <f>IF(AND('Mapa final'!$Y$11="Baja",'Mapa final'!$AA$11="Leve"),CONCATENATE("R1C",'Mapa final'!$O$11),"")</f>
        <v/>
      </c>
      <c r="L36" s="75" t="str">
        <f>IF(AND('Mapa final'!$Y$12="Baja",'Mapa final'!$AA$12="Leve"),CONCATENATE("R1C",'Mapa final'!$O$12),"")</f>
        <v/>
      </c>
      <c r="M36" s="75" t="str">
        <f>IF(AND('Mapa final'!$Y$13="Baja",'Mapa final'!$AA$13="Leve"),CONCATENATE("R1C",'Mapa final'!$O$13),"")</f>
        <v/>
      </c>
      <c r="N36" s="75" t="e">
        <f>IF(AND('Mapa final'!#REF!="Baja",'Mapa final'!#REF!="Leve"),CONCATENATE("R1C",'Mapa final'!#REF!),"")</f>
        <v>#REF!</v>
      </c>
      <c r="O36" s="76" t="str">
        <f>IF(AND('Mapa final'!$Y$14="Baja",'Mapa final'!$AA$14="Leve"),CONCATENATE("R1C",'Mapa final'!$O$14),"")</f>
        <v/>
      </c>
      <c r="P36" s="65" t="str">
        <f>IF(AND('Mapa final'!$Y$10="Baja",'Mapa final'!$AA$10="Menor"),CONCATENATE("R1C",'Mapa final'!$O$10),"")</f>
        <v/>
      </c>
      <c r="Q36" s="66" t="str">
        <f>IF(AND('Mapa final'!$Y$11="Baja",'Mapa final'!$AA$11="Menor"),CONCATENATE("R1C",'Mapa final'!$O$11),"")</f>
        <v/>
      </c>
      <c r="R36" s="66" t="str">
        <f>IF(AND('Mapa final'!$Y$12="Baja",'Mapa final'!$AA$12="Menor"),CONCATENATE("R1C",'Mapa final'!$O$12),"")</f>
        <v/>
      </c>
      <c r="S36" s="66" t="str">
        <f>IF(AND('Mapa final'!$Y$13="Baja",'Mapa final'!$AA$13="Menor"),CONCATENATE("R1C",'Mapa final'!$O$13),"")</f>
        <v/>
      </c>
      <c r="T36" s="66" t="e">
        <f>IF(AND('Mapa final'!#REF!="Baja",'Mapa final'!#REF!="Menor"),CONCATENATE("R1C",'Mapa final'!#REF!),"")</f>
        <v>#REF!</v>
      </c>
      <c r="U36" s="67" t="str">
        <f>IF(AND('Mapa final'!$Y$14="Baja",'Mapa final'!$AA$14="Menor"),CONCATENATE("R1C",'Mapa final'!$O$14),"")</f>
        <v/>
      </c>
      <c r="V36" s="65" t="str">
        <f>IF(AND('Mapa final'!$Y$10="Baja",'Mapa final'!$AA$10="Moderado"),CONCATENATE("R1C",'Mapa final'!$O$10),"")</f>
        <v/>
      </c>
      <c r="W36" s="66" t="str">
        <f>IF(AND('Mapa final'!$Y$11="Baja",'Mapa final'!$AA$11="Moderado"),CONCATENATE("R1C",'Mapa final'!$O$11),"")</f>
        <v/>
      </c>
      <c r="X36" s="66" t="str">
        <f>IF(AND('Mapa final'!$Y$12="Baja",'Mapa final'!$AA$12="Moderado"),CONCATENATE("R1C",'Mapa final'!$O$12),"")</f>
        <v/>
      </c>
      <c r="Y36" s="66" t="str">
        <f>IF(AND('Mapa final'!$Y$13="Baja",'Mapa final'!$AA$13="Moderado"),CONCATENATE("R1C",'Mapa final'!$O$13),"")</f>
        <v/>
      </c>
      <c r="Z36" s="66" t="e">
        <f>IF(AND('Mapa final'!#REF!="Baja",'Mapa final'!#REF!="Moderado"),CONCATENATE("R1C",'Mapa final'!#REF!),"")</f>
        <v>#REF!</v>
      </c>
      <c r="AA36" s="67" t="str">
        <f>IF(AND('Mapa final'!$Y$14="Baja",'Mapa final'!$AA$14="Moderado"),CONCATENATE("R1C",'Mapa final'!$O$14),"")</f>
        <v/>
      </c>
      <c r="AB36" s="46" t="str">
        <f>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e">
        <f>IF(AND('Mapa final'!#REF!="Baja",'Mapa final'!#REF!="Mayor"),CONCATENATE("R1C",'Mapa final'!#REF!),"")</f>
        <v>#REF!</v>
      </c>
      <c r="AG36" s="48" t="str">
        <f>IF(AND('Mapa final'!$Y$14="Baja",'Mapa final'!$AA$14="Mayor"),CONCATENATE("R1C",'Mapa final'!$O$14),"")</f>
        <v/>
      </c>
      <c r="AH36" s="49" t="str">
        <f>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e">
        <f>IF(AND('Mapa final'!#REF!="Baja",'Mapa final'!#REF!="Catastrófico"),CONCATENATE("R1C",'Mapa final'!#REF!),"")</f>
        <v>#REF!</v>
      </c>
      <c r="AM36" s="51" t="str">
        <f>IF(AND('Mapa final'!$Y$14="Baja",'Mapa final'!$AA$14="Catastrófico"),CONCATENATE("R1C",'Mapa final'!$O$14),"")</f>
        <v/>
      </c>
      <c r="AN36" s="84"/>
      <c r="AO36" s="375" t="s">
        <v>82</v>
      </c>
      <c r="AP36" s="376"/>
      <c r="AQ36" s="376"/>
      <c r="AR36" s="376"/>
      <c r="AS36" s="376"/>
      <c r="AT36" s="377"/>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305"/>
      <c r="C37" s="305"/>
      <c r="D37" s="306"/>
      <c r="E37" s="362"/>
      <c r="F37" s="363"/>
      <c r="G37" s="363"/>
      <c r="H37" s="363"/>
      <c r="I37" s="363"/>
      <c r="J37" s="77" t="str">
        <f>IF(AND('Mapa final'!$Y$15="Baja",'Mapa final'!$AA$15="Leve"),CONCATENATE("R2C",'Mapa final'!$O$15),"")</f>
        <v/>
      </c>
      <c r="K37" s="78" t="str">
        <f>IF(AND('Mapa final'!$Y$16="Baja",'Mapa final'!$AA$16="Leve"),CONCATENATE("R2C",'Mapa final'!$O$16),"")</f>
        <v/>
      </c>
      <c r="L37" s="78" t="str">
        <f>IF(AND('Mapa final'!$Y$17="Baja",'Mapa final'!$AA$17="Leve"),CONCATENATE("R2C",'Mapa final'!$O$17),"")</f>
        <v/>
      </c>
      <c r="M37" s="78" t="str">
        <f>IF(AND('Mapa final'!$Y$18="Baja",'Mapa final'!$AA$18="Leve"),CONCATENATE("R2C",'Mapa final'!$O$18),"")</f>
        <v/>
      </c>
      <c r="N37" s="78" t="str">
        <f>IF(AND('Mapa final'!$Y$19="Baja",'Mapa final'!$AA$19="Leve"),CONCATENATE("R2C",'Mapa final'!$O$19),"")</f>
        <v/>
      </c>
      <c r="O37" s="79" t="str">
        <f>IF(AND('Mapa final'!$Y$20="Baja",'Mapa final'!$AA$20="Leve"),CONCATENATE("R2C",'Mapa final'!$O$20),"")</f>
        <v/>
      </c>
      <c r="P37" s="68" t="str">
        <f>IF(AND('Mapa final'!$Y$15="Baja",'Mapa final'!$AA$15="Menor"),CONCATENATE("R2C",'Mapa final'!$O$15),"")</f>
        <v/>
      </c>
      <c r="Q37" s="69" t="str">
        <f>IF(AND('Mapa final'!$Y$16="Baja",'Mapa final'!$AA$16="Menor"),CONCATENATE("R2C",'Mapa final'!$O$16),"")</f>
        <v/>
      </c>
      <c r="R37" s="69" t="str">
        <f>IF(AND('Mapa final'!$Y$17="Baja",'Mapa final'!$AA$17="Menor"),CONCATENATE("R2C",'Mapa final'!$O$17),"")</f>
        <v/>
      </c>
      <c r="S37" s="69" t="str">
        <f>IF(AND('Mapa final'!$Y$18="Baja",'Mapa final'!$AA$18="Menor"),CONCATENATE("R2C",'Mapa final'!$O$18),"")</f>
        <v/>
      </c>
      <c r="T37" s="69" t="str">
        <f>IF(AND('Mapa final'!$Y$19="Baja",'Mapa final'!$AA$19="Menor"),CONCATENATE("R2C",'Mapa final'!$O$19),"")</f>
        <v/>
      </c>
      <c r="U37" s="70" t="str">
        <f>IF(AND('Mapa final'!$Y$20="Baja",'Mapa final'!$AA$20="Menor"),CONCATENATE("R2C",'Mapa final'!$O$20),"")</f>
        <v/>
      </c>
      <c r="V37" s="68" t="str">
        <f>IF(AND('Mapa final'!$Y$15="Baja",'Mapa final'!$AA$15="Moderado"),CONCATENATE("R2C",'Mapa final'!$O$15),"")</f>
        <v/>
      </c>
      <c r="W37" s="69" t="str">
        <f>IF(AND('Mapa final'!$Y$16="Baja",'Mapa final'!$AA$16="Moderado"),CONCATENATE("R2C",'Mapa final'!$O$16),"")</f>
        <v/>
      </c>
      <c r="X37" s="69" t="str">
        <f>IF(AND('Mapa final'!$Y$17="Baja",'Mapa final'!$AA$17="Moderado"),CONCATENATE("R2C",'Mapa final'!$O$17),"")</f>
        <v/>
      </c>
      <c r="Y37" s="69" t="str">
        <f>IF(AND('Mapa final'!$Y$18="Baja",'Mapa final'!$AA$18="Moderado"),CONCATENATE("R2C",'Mapa final'!$O$18),"")</f>
        <v/>
      </c>
      <c r="Z37" s="69" t="str">
        <f>IF(AND('Mapa final'!$Y$19="Baja",'Mapa final'!$AA$19="Moderado"),CONCATENATE("R2C",'Mapa final'!$O$19),"")</f>
        <v/>
      </c>
      <c r="AA37" s="70" t="str">
        <f>IF(AND('Mapa final'!$Y$20="Baja",'Mapa final'!$AA$20="Moderado"),CONCATENATE("R2C",'Mapa final'!$O$20),"")</f>
        <v/>
      </c>
      <c r="AB37" s="52" t="str">
        <f>IF(AND('Mapa final'!$Y$15="Baja",'Mapa final'!$AA$15="Mayor"),CONCATENATE("R2C",'Mapa final'!$O$15),"")</f>
        <v/>
      </c>
      <c r="AC37" s="53" t="str">
        <f>IF(AND('Mapa final'!$Y$16="Baja",'Mapa final'!$AA$16="Mayor"),CONCATENATE("R2C",'Mapa final'!$O$16),"")</f>
        <v/>
      </c>
      <c r="AD37" s="53" t="str">
        <f>IF(AND('Mapa final'!$Y$17="Baja",'Mapa final'!$AA$17="Mayor"),CONCATENATE("R2C",'Mapa final'!$O$17),"")</f>
        <v/>
      </c>
      <c r="AE37" s="53" t="str">
        <f>IF(AND('Mapa final'!$Y$18="Baja",'Mapa final'!$AA$18="Mayor"),CONCATENATE("R2C",'Mapa final'!$O$18),"")</f>
        <v/>
      </c>
      <c r="AF37" s="53" t="str">
        <f>IF(AND('Mapa final'!$Y$19="Baja",'Mapa final'!$AA$19="Mayor"),CONCATENATE("R2C",'Mapa final'!$O$19),"")</f>
        <v/>
      </c>
      <c r="AG37" s="54" t="str">
        <f>IF(AND('Mapa final'!$Y$20="Baja",'Mapa final'!$AA$20="Mayor"),CONCATENATE("R2C",'Mapa final'!$O$20),"")</f>
        <v/>
      </c>
      <c r="AH37" s="55" t="str">
        <f>IF(AND('Mapa final'!$Y$15="Baja",'Mapa final'!$AA$15="Catastrófico"),CONCATENATE("R2C",'Mapa final'!$O$15),"")</f>
        <v/>
      </c>
      <c r="AI37" s="56" t="str">
        <f>IF(AND('Mapa final'!$Y$16="Baja",'Mapa final'!$AA$16="Catastrófico"),CONCATENATE("R2C",'Mapa final'!$O$16),"")</f>
        <v/>
      </c>
      <c r="AJ37" s="56" t="str">
        <f>IF(AND('Mapa final'!$Y$17="Baja",'Mapa final'!$AA$17="Catastrófico"),CONCATENATE("R2C",'Mapa final'!$O$17),"")</f>
        <v/>
      </c>
      <c r="AK37" s="56" t="str">
        <f>IF(AND('Mapa final'!$Y$18="Baja",'Mapa final'!$AA$18="Catastrófico"),CONCATENATE("R2C",'Mapa final'!$O$18),"")</f>
        <v/>
      </c>
      <c r="AL37" s="56" t="str">
        <f>IF(AND('Mapa final'!$Y$19="Baja",'Mapa final'!$AA$19="Catastrófico"),CONCATENATE("R2C",'Mapa final'!$O$19),"")</f>
        <v/>
      </c>
      <c r="AM37" s="57" t="str">
        <f>IF(AND('Mapa final'!$Y$20="Baja",'Mapa final'!$AA$20="Catastrófico"),CONCATENATE("R2C",'Mapa final'!$O$20),"")</f>
        <v/>
      </c>
      <c r="AN37" s="84"/>
      <c r="AO37" s="378"/>
      <c r="AP37" s="379"/>
      <c r="AQ37" s="379"/>
      <c r="AR37" s="379"/>
      <c r="AS37" s="379"/>
      <c r="AT37" s="380"/>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305"/>
      <c r="C38" s="305"/>
      <c r="D38" s="306"/>
      <c r="E38" s="346"/>
      <c r="F38" s="347"/>
      <c r="G38" s="347"/>
      <c r="H38" s="347"/>
      <c r="I38" s="363"/>
      <c r="J38" s="77" t="str">
        <f>IF(AND('Mapa final'!$Y$21="Baja",'Mapa final'!$AA$21="Leve"),CONCATENATE("R3C",'Mapa final'!$O$21),"")</f>
        <v/>
      </c>
      <c r="K38" s="78" t="str">
        <f>IF(AND('Mapa final'!$Y$22="Baja",'Mapa final'!$AA$22="Leve"),CONCATENATE("R3C",'Mapa final'!$O$22),"")</f>
        <v/>
      </c>
      <c r="L38" s="78" t="e">
        <f>IF(AND('Mapa final'!#REF!="Baja",'Mapa final'!#REF!="Leve"),CONCATENATE("R3C",'Mapa final'!#REF!),"")</f>
        <v>#REF!</v>
      </c>
      <c r="M38" s="78" t="e">
        <f>IF(AND('Mapa final'!#REF!="Baja",'Mapa final'!#REF!="Leve"),CONCATENATE("R3C",'Mapa final'!#REF!),"")</f>
        <v>#REF!</v>
      </c>
      <c r="N38" s="78" t="e">
        <f>IF(AND('Mapa final'!#REF!="Baja",'Mapa final'!#REF!="Leve"),CONCATENATE("R3C",'Mapa final'!#REF!),"")</f>
        <v>#REF!</v>
      </c>
      <c r="O38" s="79" t="e">
        <f>IF(AND('Mapa final'!#REF!="Baja",'Mapa final'!#REF!="Leve"),CONCATENATE("R3C",'Mapa final'!#REF!),"")</f>
        <v>#REF!</v>
      </c>
      <c r="P38" s="68" t="str">
        <f>IF(AND('Mapa final'!$Y$21="Baja",'Mapa final'!$AA$21="Menor"),CONCATENATE("R3C",'Mapa final'!$O$21),"")</f>
        <v/>
      </c>
      <c r="Q38" s="69" t="str">
        <f>IF(AND('Mapa final'!$Y$22="Baja",'Mapa final'!$AA$22="Menor"),CONCATENATE("R3C",'Mapa final'!$O$22),"")</f>
        <v/>
      </c>
      <c r="R38" s="69" t="e">
        <f>IF(AND('Mapa final'!#REF!="Baja",'Mapa final'!#REF!="Menor"),CONCATENATE("R3C",'Mapa final'!#REF!),"")</f>
        <v>#REF!</v>
      </c>
      <c r="S38" s="69" t="e">
        <f>IF(AND('Mapa final'!#REF!="Baja",'Mapa final'!#REF!="Menor"),CONCATENATE("R3C",'Mapa final'!#REF!),"")</f>
        <v>#REF!</v>
      </c>
      <c r="T38" s="69" t="e">
        <f>IF(AND('Mapa final'!#REF!="Baja",'Mapa final'!#REF!="Menor"),CONCATENATE("R3C",'Mapa final'!#REF!),"")</f>
        <v>#REF!</v>
      </c>
      <c r="U38" s="70" t="e">
        <f>IF(AND('Mapa final'!#REF!="Baja",'Mapa final'!#REF!="Menor"),CONCATENATE("R3C",'Mapa final'!#REF!),"")</f>
        <v>#REF!</v>
      </c>
      <c r="V38" s="68" t="str">
        <f>IF(AND('Mapa final'!$Y$21="Baja",'Mapa final'!$AA$21="Moderado"),CONCATENATE("R3C",'Mapa final'!$O$21),"")</f>
        <v/>
      </c>
      <c r="W38" s="69" t="str">
        <f>IF(AND('Mapa final'!$Y$22="Baja",'Mapa final'!$AA$22="Moderado"),CONCATENATE("R3C",'Mapa final'!$O$22),"")</f>
        <v/>
      </c>
      <c r="X38" s="69" t="e">
        <f>IF(AND('Mapa final'!#REF!="Baja",'Mapa final'!#REF!="Moderado"),CONCATENATE("R3C",'Mapa final'!#REF!),"")</f>
        <v>#REF!</v>
      </c>
      <c r="Y38" s="69" t="e">
        <f>IF(AND('Mapa final'!#REF!="Baja",'Mapa final'!#REF!="Moderado"),CONCATENATE("R3C",'Mapa final'!#REF!),"")</f>
        <v>#REF!</v>
      </c>
      <c r="Z38" s="69" t="e">
        <f>IF(AND('Mapa final'!#REF!="Baja",'Mapa final'!#REF!="Moderado"),CONCATENATE("R3C",'Mapa final'!#REF!),"")</f>
        <v>#REF!</v>
      </c>
      <c r="AA38" s="70" t="e">
        <f>IF(AND('Mapa final'!#REF!="Baja",'Mapa final'!#REF!="Moderado"),CONCATENATE("R3C",'Mapa final'!#REF!),"")</f>
        <v>#REF!</v>
      </c>
      <c r="AB38" s="52" t="str">
        <f>IF(AND('Mapa final'!$Y$21="Baja",'Mapa final'!$AA$21="Mayor"),CONCATENATE("R3C",'Mapa final'!$O$21),"")</f>
        <v/>
      </c>
      <c r="AC38" s="53" t="str">
        <f>IF(AND('Mapa final'!$Y$22="Baja",'Mapa final'!$AA$22="Mayor"),CONCATENATE("R3C",'Mapa final'!$O$22),"")</f>
        <v/>
      </c>
      <c r="AD38" s="53" t="e">
        <f>IF(AND('Mapa final'!#REF!="Baja",'Mapa final'!#REF!="Mayor"),CONCATENATE("R3C",'Mapa final'!#REF!),"")</f>
        <v>#REF!</v>
      </c>
      <c r="AE38" s="53" t="e">
        <f>IF(AND('Mapa final'!#REF!="Baja",'Mapa final'!#REF!="Mayor"),CONCATENATE("R3C",'Mapa final'!#REF!),"")</f>
        <v>#REF!</v>
      </c>
      <c r="AF38" s="53" t="e">
        <f>IF(AND('Mapa final'!#REF!="Baja",'Mapa final'!#REF!="Mayor"),CONCATENATE("R3C",'Mapa final'!#REF!),"")</f>
        <v>#REF!</v>
      </c>
      <c r="AG38" s="54" t="e">
        <f>IF(AND('Mapa final'!#REF!="Baja",'Mapa final'!#REF!="Mayor"),CONCATENATE("R3C",'Mapa final'!#REF!),"")</f>
        <v>#REF!</v>
      </c>
      <c r="AH38" s="55" t="str">
        <f>IF(AND('Mapa final'!$Y$21="Baja",'Mapa final'!$AA$21="Catastrófico"),CONCATENATE("R3C",'Mapa final'!$O$21),"")</f>
        <v/>
      </c>
      <c r="AI38" s="56" t="str">
        <f>IF(AND('Mapa final'!$Y$22="Baja",'Mapa final'!$AA$22="Catastrófico"),CONCATENATE("R3C",'Mapa final'!$O$22),"")</f>
        <v/>
      </c>
      <c r="AJ38" s="56" t="e">
        <f>IF(AND('Mapa final'!#REF!="Baja",'Mapa final'!#REF!="Catastrófico"),CONCATENATE("R3C",'Mapa final'!#REF!),"")</f>
        <v>#REF!</v>
      </c>
      <c r="AK38" s="56" t="e">
        <f>IF(AND('Mapa final'!#REF!="Baja",'Mapa final'!#REF!="Catastrófico"),CONCATENATE("R3C",'Mapa final'!#REF!),"")</f>
        <v>#REF!</v>
      </c>
      <c r="AL38" s="56" t="e">
        <f>IF(AND('Mapa final'!#REF!="Baja",'Mapa final'!#REF!="Catastrófico"),CONCATENATE("R3C",'Mapa final'!#REF!),"")</f>
        <v>#REF!</v>
      </c>
      <c r="AM38" s="57" t="e">
        <f>IF(AND('Mapa final'!#REF!="Baja",'Mapa final'!#REF!="Catastrófico"),CONCATENATE("R3C",'Mapa final'!#REF!),"")</f>
        <v>#REF!</v>
      </c>
      <c r="AN38" s="84"/>
      <c r="AO38" s="378"/>
      <c r="AP38" s="379"/>
      <c r="AQ38" s="379"/>
      <c r="AR38" s="379"/>
      <c r="AS38" s="379"/>
      <c r="AT38" s="380"/>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305"/>
      <c r="C39" s="305"/>
      <c r="D39" s="306"/>
      <c r="E39" s="346"/>
      <c r="F39" s="347"/>
      <c r="G39" s="347"/>
      <c r="H39" s="347"/>
      <c r="I39" s="363"/>
      <c r="J39" s="77" t="str">
        <f>IF(AND('Mapa final'!$Y$23="Baja",'Mapa final'!$AA$23="Leve"),CONCATENATE("R4C",'Mapa final'!$O$23),"")</f>
        <v/>
      </c>
      <c r="K39" s="78" t="str">
        <f>IF(AND('Mapa final'!$Y$24="Baja",'Mapa final'!$AA$24="Leve"),CONCATENATE("R4C",'Mapa final'!$O$24),"")</f>
        <v/>
      </c>
      <c r="L39" s="78" t="str">
        <f>IF(AND('Mapa final'!$Y$25="Baja",'Mapa final'!$AA$25="Leve"),CONCATENATE("R4C",'Mapa final'!$O$25),"")</f>
        <v/>
      </c>
      <c r="M39" s="78" t="str">
        <f>IF(AND('Mapa final'!$Y$26="Baja",'Mapa final'!$AA$26="Leve"),CONCATENATE("R4C",'Mapa final'!$O$26),"")</f>
        <v/>
      </c>
      <c r="N39" s="78" t="str">
        <f>IF(AND('Mapa final'!$Y$27="Baja",'Mapa final'!$AA$27="Leve"),CONCATENATE("R4C",'Mapa final'!$O$27),"")</f>
        <v/>
      </c>
      <c r="O39" s="79" t="str">
        <f>IF(AND('Mapa final'!$Y$28="Baja",'Mapa final'!$AA$28="Leve"),CONCATENATE("R4C",'Mapa final'!$O$28),"")</f>
        <v/>
      </c>
      <c r="P39" s="68" t="str">
        <f>IF(AND('Mapa final'!$Y$23="Baja",'Mapa final'!$AA$23="Menor"),CONCATENATE("R4C",'Mapa final'!$O$23),"")</f>
        <v/>
      </c>
      <c r="Q39" s="69" t="str">
        <f>IF(AND('Mapa final'!$Y$24="Baja",'Mapa final'!$AA$24="Menor"),CONCATENATE("R4C",'Mapa final'!$O$24),"")</f>
        <v/>
      </c>
      <c r="R39" s="69" t="str">
        <f>IF(AND('Mapa final'!$Y$25="Baja",'Mapa final'!$AA$25="Menor"),CONCATENATE("R4C",'Mapa final'!$O$25),"")</f>
        <v/>
      </c>
      <c r="S39" s="69" t="str">
        <f>IF(AND('Mapa final'!$Y$26="Baja",'Mapa final'!$AA$26="Menor"),CONCATENATE("R4C",'Mapa final'!$O$26),"")</f>
        <v/>
      </c>
      <c r="T39" s="69" t="str">
        <f>IF(AND('Mapa final'!$Y$27="Baja",'Mapa final'!$AA$27="Menor"),CONCATENATE("R4C",'Mapa final'!$O$27),"")</f>
        <v/>
      </c>
      <c r="U39" s="70" t="str">
        <f>IF(AND('Mapa final'!$Y$28="Baja",'Mapa final'!$AA$28="Menor"),CONCATENATE("R4C",'Mapa final'!$O$28),"")</f>
        <v/>
      </c>
      <c r="V39" s="68" t="str">
        <f>IF(AND('Mapa final'!$Y$23="Baja",'Mapa final'!$AA$23="Moderado"),CONCATENATE("R4C",'Mapa final'!$O$23),"")</f>
        <v/>
      </c>
      <c r="W39" s="69" t="str">
        <f>IF(AND('Mapa final'!$Y$24="Baja",'Mapa final'!$AA$24="Moderado"),CONCATENATE("R4C",'Mapa final'!$O$24),"")</f>
        <v/>
      </c>
      <c r="X39" s="69" t="str">
        <f>IF(AND('Mapa final'!$Y$25="Baja",'Mapa final'!$AA$25="Moderado"),CONCATENATE("R4C",'Mapa final'!$O$25),"")</f>
        <v/>
      </c>
      <c r="Y39" s="69" t="str">
        <f>IF(AND('Mapa final'!$Y$26="Baja",'Mapa final'!$AA$26="Moderado"),CONCATENATE("R4C",'Mapa final'!$O$26),"")</f>
        <v/>
      </c>
      <c r="Z39" s="69" t="str">
        <f>IF(AND('Mapa final'!$Y$27="Baja",'Mapa final'!$AA$27="Moderado"),CONCATENATE("R4C",'Mapa final'!$O$27),"")</f>
        <v/>
      </c>
      <c r="AA39" s="70" t="str">
        <f>IF(AND('Mapa final'!$Y$28="Baja",'Mapa final'!$AA$28="Moderado"),CONCATENATE("R4C",'Mapa final'!$O$28),"")</f>
        <v/>
      </c>
      <c r="AB39" s="52" t="str">
        <f>IF(AND('Mapa final'!$Y$23="Baja",'Mapa final'!$AA$23="Mayor"),CONCATENATE("R4C",'Mapa final'!$O$23),"")</f>
        <v/>
      </c>
      <c r="AC39" s="53" t="str">
        <f>IF(AND('Mapa final'!$Y$24="Baja",'Mapa final'!$AA$24="Mayor"),CONCATENATE("R4C",'Mapa final'!$O$24),"")</f>
        <v/>
      </c>
      <c r="AD39" s="53" t="str">
        <f>IF(AND('Mapa final'!$Y$25="Baja",'Mapa final'!$AA$25="Mayor"),CONCATENATE("R4C",'Mapa final'!$O$25),"")</f>
        <v/>
      </c>
      <c r="AE39" s="53" t="str">
        <f>IF(AND('Mapa final'!$Y$26="Baja",'Mapa final'!$AA$26="Mayor"),CONCATENATE("R4C",'Mapa final'!$O$26),"")</f>
        <v/>
      </c>
      <c r="AF39" s="53" t="str">
        <f>IF(AND('Mapa final'!$Y$27="Baja",'Mapa final'!$AA$27="Mayor"),CONCATENATE("R4C",'Mapa final'!$O$27),"")</f>
        <v/>
      </c>
      <c r="AG39" s="54" t="str">
        <f>IF(AND('Mapa final'!$Y$28="Baja",'Mapa final'!$AA$28="Mayor"),CONCATENATE("R4C",'Mapa final'!$O$28),"")</f>
        <v/>
      </c>
      <c r="AH39" s="55" t="str">
        <f>IF(AND('Mapa final'!$Y$23="Baja",'Mapa final'!$AA$23="Catastrófico"),CONCATENATE("R4C",'Mapa final'!$O$23),"")</f>
        <v/>
      </c>
      <c r="AI39" s="56" t="str">
        <f>IF(AND('Mapa final'!$Y$24="Baja",'Mapa final'!$AA$24="Catastrófico"),CONCATENATE("R4C",'Mapa final'!$O$24),"")</f>
        <v/>
      </c>
      <c r="AJ39" s="56" t="str">
        <f>IF(AND('Mapa final'!$Y$25="Baja",'Mapa final'!$AA$25="Catastrófico"),CONCATENATE("R4C",'Mapa final'!$O$25),"")</f>
        <v/>
      </c>
      <c r="AK39" s="56" t="str">
        <f>IF(AND('Mapa final'!$Y$26="Baja",'Mapa final'!$AA$26="Catastrófico"),CONCATENATE("R4C",'Mapa final'!$O$26),"")</f>
        <v/>
      </c>
      <c r="AL39" s="56" t="str">
        <f>IF(AND('Mapa final'!$Y$27="Baja",'Mapa final'!$AA$27="Catastrófico"),CONCATENATE("R4C",'Mapa final'!$O$27),"")</f>
        <v/>
      </c>
      <c r="AM39" s="57" t="str">
        <f>IF(AND('Mapa final'!$Y$28="Baja",'Mapa final'!$AA$28="Catastrófico"),CONCATENATE("R4C",'Mapa final'!$O$28),"")</f>
        <v/>
      </c>
      <c r="AN39" s="84"/>
      <c r="AO39" s="378"/>
      <c r="AP39" s="379"/>
      <c r="AQ39" s="379"/>
      <c r="AR39" s="379"/>
      <c r="AS39" s="379"/>
      <c r="AT39" s="380"/>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305"/>
      <c r="C40" s="305"/>
      <c r="D40" s="306"/>
      <c r="E40" s="346"/>
      <c r="F40" s="347"/>
      <c r="G40" s="347"/>
      <c r="H40" s="347"/>
      <c r="I40" s="363"/>
      <c r="J40" s="77" t="str">
        <f>IF(AND('Mapa final'!$Y$29="Baja",'Mapa final'!$AA$29="Leve"),CONCATENATE("R5C",'Mapa final'!$O$29),"")</f>
        <v/>
      </c>
      <c r="K40" s="78" t="str">
        <f>IF(AND('Mapa final'!$Y$30="Baja",'Mapa final'!$AA$30="Leve"),CONCATENATE("R5C",'Mapa final'!$O$30),"")</f>
        <v/>
      </c>
      <c r="L40" s="78" t="str">
        <f>IF(AND('Mapa final'!$Y$31="Baja",'Mapa final'!$AA$31="Leve"),CONCATENATE("R5C",'Mapa final'!$O$31),"")</f>
        <v/>
      </c>
      <c r="M40" s="78" t="str">
        <f>IF(AND('Mapa final'!$Y$32="Baja",'Mapa final'!$AA$32="Leve"),CONCATENATE("R5C",'Mapa final'!$O$32),"")</f>
        <v/>
      </c>
      <c r="N40" s="78" t="str">
        <f>IF(AND('Mapa final'!$Y$33="Baja",'Mapa final'!$AA$33="Leve"),CONCATENATE("R5C",'Mapa final'!$O$33),"")</f>
        <v/>
      </c>
      <c r="O40" s="79" t="str">
        <f>IF(AND('Mapa final'!$Y$34="Baja",'Mapa final'!$AA$34="Leve"),CONCATENATE("R5C",'Mapa final'!$O$34),"")</f>
        <v/>
      </c>
      <c r="P40" s="68" t="str">
        <f>IF(AND('Mapa final'!$Y$29="Baja",'Mapa final'!$AA$29="Menor"),CONCATENATE("R5C",'Mapa final'!$O$29),"")</f>
        <v/>
      </c>
      <c r="Q40" s="69" t="str">
        <f>IF(AND('Mapa final'!$Y$30="Baja",'Mapa final'!$AA$30="Menor"),CONCATENATE("R5C",'Mapa final'!$O$30),"")</f>
        <v/>
      </c>
      <c r="R40" s="69" t="str">
        <f>IF(AND('Mapa final'!$Y$31="Baja",'Mapa final'!$AA$31="Menor"),CONCATENATE("R5C",'Mapa final'!$O$31),"")</f>
        <v/>
      </c>
      <c r="S40" s="69" t="str">
        <f>IF(AND('Mapa final'!$Y$32="Baja",'Mapa final'!$AA$32="Menor"),CONCATENATE("R5C",'Mapa final'!$O$32),"")</f>
        <v/>
      </c>
      <c r="T40" s="69" t="str">
        <f>IF(AND('Mapa final'!$Y$33="Baja",'Mapa final'!$AA$33="Menor"),CONCATENATE("R5C",'Mapa final'!$O$33),"")</f>
        <v/>
      </c>
      <c r="U40" s="70" t="str">
        <f>IF(AND('Mapa final'!$Y$34="Baja",'Mapa final'!$AA$34="Menor"),CONCATENATE("R5C",'Mapa final'!$O$34),"")</f>
        <v/>
      </c>
      <c r="V40" s="68" t="str">
        <f>IF(AND('Mapa final'!$Y$29="Baja",'Mapa final'!$AA$29="Moderado"),CONCATENATE("R5C",'Mapa final'!$O$29),"")</f>
        <v/>
      </c>
      <c r="W40" s="69" t="str">
        <f>IF(AND('Mapa final'!$Y$30="Baja",'Mapa final'!$AA$30="Moderado"),CONCATENATE("R5C",'Mapa final'!$O$30),"")</f>
        <v/>
      </c>
      <c r="X40" s="69" t="str">
        <f>IF(AND('Mapa final'!$Y$31="Baja",'Mapa final'!$AA$31="Moderado"),CONCATENATE("R5C",'Mapa final'!$O$31),"")</f>
        <v/>
      </c>
      <c r="Y40" s="69" t="str">
        <f>IF(AND('Mapa final'!$Y$32="Baja",'Mapa final'!$AA$32="Moderado"),CONCATENATE("R5C",'Mapa final'!$O$32),"")</f>
        <v/>
      </c>
      <c r="Z40" s="69" t="str">
        <f>IF(AND('Mapa final'!$Y$33="Baja",'Mapa final'!$AA$33="Moderado"),CONCATENATE("R5C",'Mapa final'!$O$33),"")</f>
        <v/>
      </c>
      <c r="AA40" s="70" t="str">
        <f>IF(AND('Mapa final'!$Y$34="Baja",'Mapa final'!$AA$34="Moderado"),CONCATENATE("R5C",'Mapa final'!$O$34),"")</f>
        <v/>
      </c>
      <c r="AB40" s="52" t="str">
        <f>IF(AND('Mapa final'!$Y$29="Baja",'Mapa final'!$AA$29="Mayor"),CONCATENATE("R5C",'Mapa final'!$O$29),"")</f>
        <v/>
      </c>
      <c r="AC40" s="53" t="str">
        <f>IF(AND('Mapa final'!$Y$30="Baja",'Mapa final'!$AA$30="Mayor"),CONCATENATE("R5C",'Mapa final'!$O$30),"")</f>
        <v/>
      </c>
      <c r="AD40" s="58" t="str">
        <f>IF(AND('Mapa final'!$Y$31="Baja",'Mapa final'!$AA$31="Mayor"),CONCATENATE("R5C",'Mapa final'!$O$31),"")</f>
        <v/>
      </c>
      <c r="AE40" s="58" t="str">
        <f>IF(AND('Mapa final'!$Y$32="Baja",'Mapa final'!$AA$32="Mayor"),CONCATENATE("R5C",'Mapa final'!$O$32),"")</f>
        <v/>
      </c>
      <c r="AF40" s="58" t="str">
        <f>IF(AND('Mapa final'!$Y$33="Baja",'Mapa final'!$AA$33="Mayor"),CONCATENATE("R5C",'Mapa final'!$O$33),"")</f>
        <v/>
      </c>
      <c r="AG40" s="54" t="str">
        <f>IF(AND('Mapa final'!$Y$34="Baja",'Mapa final'!$AA$34="Mayor"),CONCATENATE("R5C",'Mapa final'!$O$34),"")</f>
        <v/>
      </c>
      <c r="AH40" s="55" t="str">
        <f>IF(AND('Mapa final'!$Y$29="Baja",'Mapa final'!$AA$29="Catastrófico"),CONCATENATE("R5C",'Mapa final'!$O$29),"")</f>
        <v/>
      </c>
      <c r="AI40" s="56" t="str">
        <f>IF(AND('Mapa final'!$Y$30="Baja",'Mapa final'!$AA$30="Catastrófico"),CONCATENATE("R5C",'Mapa final'!$O$30),"")</f>
        <v/>
      </c>
      <c r="AJ40" s="56" t="str">
        <f>IF(AND('Mapa final'!$Y$31="Baja",'Mapa final'!$AA$31="Catastrófico"),CONCATENATE("R5C",'Mapa final'!$O$31),"")</f>
        <v/>
      </c>
      <c r="AK40" s="56" t="str">
        <f>IF(AND('Mapa final'!$Y$32="Baja",'Mapa final'!$AA$32="Catastrófico"),CONCATENATE("R5C",'Mapa final'!$O$32),"")</f>
        <v/>
      </c>
      <c r="AL40" s="56" t="str">
        <f>IF(AND('Mapa final'!$Y$33="Baja",'Mapa final'!$AA$33="Catastrófico"),CONCATENATE("R5C",'Mapa final'!$O$33),"")</f>
        <v/>
      </c>
      <c r="AM40" s="57" t="str">
        <f>IF(AND('Mapa final'!$Y$34="Baja",'Mapa final'!$AA$34="Catastrófico"),CONCATENATE("R5C",'Mapa final'!$O$34),"")</f>
        <v/>
      </c>
      <c r="AN40" s="84"/>
      <c r="AO40" s="378"/>
      <c r="AP40" s="379"/>
      <c r="AQ40" s="379"/>
      <c r="AR40" s="379"/>
      <c r="AS40" s="379"/>
      <c r="AT40" s="380"/>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305"/>
      <c r="C41" s="305"/>
      <c r="D41" s="306"/>
      <c r="E41" s="346"/>
      <c r="F41" s="347"/>
      <c r="G41" s="347"/>
      <c r="H41" s="347"/>
      <c r="I41" s="363"/>
      <c r="J41" s="77" t="str">
        <f>IF(AND('Mapa final'!$Y$35="Baja",'Mapa final'!$AA$35="Leve"),CONCATENATE("R6C",'Mapa final'!$O$35),"")</f>
        <v/>
      </c>
      <c r="K41" s="78" t="str">
        <f>IF(AND('Mapa final'!$Y$36="Baja",'Mapa final'!$AA$36="Leve"),CONCATENATE("R6C",'Mapa final'!$O$36),"")</f>
        <v/>
      </c>
      <c r="L41" s="78" t="str">
        <f>IF(AND('Mapa final'!$Y$37="Baja",'Mapa final'!$AA$37="Leve"),CONCATENATE("R6C",'Mapa final'!$O$37),"")</f>
        <v/>
      </c>
      <c r="M41" s="78" t="str">
        <f>IF(AND('Mapa final'!$Y$38="Baja",'Mapa final'!$AA$38="Leve"),CONCATENATE("R6C",'Mapa final'!$O$38),"")</f>
        <v/>
      </c>
      <c r="N41" s="78" t="str">
        <f>IF(AND('Mapa final'!$Y$39="Baja",'Mapa final'!$AA$39="Leve"),CONCATENATE("R6C",'Mapa final'!$O$39),"")</f>
        <v/>
      </c>
      <c r="O41" s="79" t="str">
        <f>IF(AND('Mapa final'!$Y$40="Baja",'Mapa final'!$AA$40="Leve"),CONCATENATE("R6C",'Mapa final'!$O$40),"")</f>
        <v/>
      </c>
      <c r="P41" s="68" t="str">
        <f>IF(AND('Mapa final'!$Y$35="Baja",'Mapa final'!$AA$35="Menor"),CONCATENATE("R6C",'Mapa final'!$O$35),"")</f>
        <v/>
      </c>
      <c r="Q41" s="69" t="str">
        <f>IF(AND('Mapa final'!$Y$36="Baja",'Mapa final'!$AA$36="Menor"),CONCATENATE("R6C",'Mapa final'!$O$36),"")</f>
        <v/>
      </c>
      <c r="R41" s="69" t="str">
        <f>IF(AND('Mapa final'!$Y$37="Baja",'Mapa final'!$AA$37="Menor"),CONCATENATE("R6C",'Mapa final'!$O$37),"")</f>
        <v/>
      </c>
      <c r="S41" s="69" t="str">
        <f>IF(AND('Mapa final'!$Y$38="Baja",'Mapa final'!$AA$38="Menor"),CONCATENATE("R6C",'Mapa final'!$O$38),"")</f>
        <v/>
      </c>
      <c r="T41" s="69" t="str">
        <f>IF(AND('Mapa final'!$Y$39="Baja",'Mapa final'!$AA$39="Menor"),CONCATENATE("R6C",'Mapa final'!$O$39),"")</f>
        <v/>
      </c>
      <c r="U41" s="70" t="str">
        <f>IF(AND('Mapa final'!$Y$40="Baja",'Mapa final'!$AA$40="Menor"),CONCATENATE("R6C",'Mapa final'!$O$40),"")</f>
        <v/>
      </c>
      <c r="V41" s="68" t="str">
        <f>IF(AND('Mapa final'!$Y$35="Baja",'Mapa final'!$AA$35="Moderado"),CONCATENATE("R6C",'Mapa final'!$O$35),"")</f>
        <v/>
      </c>
      <c r="W41" s="69" t="str">
        <f>IF(AND('Mapa final'!$Y$36="Baja",'Mapa final'!$AA$36="Moderado"),CONCATENATE("R6C",'Mapa final'!$O$36),"")</f>
        <v/>
      </c>
      <c r="X41" s="69" t="str">
        <f>IF(AND('Mapa final'!$Y$37="Baja",'Mapa final'!$AA$37="Moderado"),CONCATENATE("R6C",'Mapa final'!$O$37),"")</f>
        <v/>
      </c>
      <c r="Y41" s="69" t="str">
        <f>IF(AND('Mapa final'!$Y$38="Baja",'Mapa final'!$AA$38="Moderado"),CONCATENATE("R6C",'Mapa final'!$O$38),"")</f>
        <v/>
      </c>
      <c r="Z41" s="69" t="str">
        <f>IF(AND('Mapa final'!$Y$39="Baja",'Mapa final'!$AA$39="Moderado"),CONCATENATE("R6C",'Mapa final'!$O$39),"")</f>
        <v/>
      </c>
      <c r="AA41" s="70" t="str">
        <f>IF(AND('Mapa final'!$Y$40="Baja",'Mapa final'!$AA$40="Moderado"),CONCATENATE("R6C",'Mapa final'!$O$40),"")</f>
        <v/>
      </c>
      <c r="AB41" s="52" t="str">
        <f>IF(AND('Mapa final'!$Y$35="Baja",'Mapa final'!$AA$35="Mayor"),CONCATENATE("R6C",'Mapa final'!$O$35),"")</f>
        <v/>
      </c>
      <c r="AC41" s="53" t="str">
        <f>IF(AND('Mapa final'!$Y$36="Baja",'Mapa final'!$AA$36="Mayor"),CONCATENATE("R6C",'Mapa final'!$O$36),"")</f>
        <v/>
      </c>
      <c r="AD41" s="58" t="str">
        <f>IF(AND('Mapa final'!$Y$37="Baja",'Mapa final'!$AA$37="Mayor"),CONCATENATE("R6C",'Mapa final'!$O$37),"")</f>
        <v/>
      </c>
      <c r="AE41" s="58" t="str">
        <f>IF(AND('Mapa final'!$Y$38="Baja",'Mapa final'!$AA$38="Mayor"),CONCATENATE("R6C",'Mapa final'!$O$38),"")</f>
        <v/>
      </c>
      <c r="AF41" s="58" t="str">
        <f>IF(AND('Mapa final'!$Y$39="Baja",'Mapa final'!$AA$39="Mayor"),CONCATENATE("R6C",'Mapa final'!$O$39),"")</f>
        <v/>
      </c>
      <c r="AG41" s="54" t="str">
        <f>IF(AND('Mapa final'!$Y$40="Baja",'Mapa final'!$AA$40="Mayor"),CONCATENATE("R6C",'Mapa final'!$O$40),"")</f>
        <v/>
      </c>
      <c r="AH41" s="55" t="str">
        <f>IF(AND('Mapa final'!$Y$35="Baja",'Mapa final'!$AA$35="Catastrófico"),CONCATENATE("R6C",'Mapa final'!$O$35),"")</f>
        <v/>
      </c>
      <c r="AI41" s="56" t="str">
        <f>IF(AND('Mapa final'!$Y$36="Baja",'Mapa final'!$AA$36="Catastrófico"),CONCATENATE("R6C",'Mapa final'!$O$36),"")</f>
        <v/>
      </c>
      <c r="AJ41" s="56" t="str">
        <f>IF(AND('Mapa final'!$Y$37="Baja",'Mapa final'!$AA$37="Catastrófico"),CONCATENATE("R6C",'Mapa final'!$O$37),"")</f>
        <v/>
      </c>
      <c r="AK41" s="56" t="str">
        <f>IF(AND('Mapa final'!$Y$38="Baja",'Mapa final'!$AA$38="Catastrófico"),CONCATENATE("R6C",'Mapa final'!$O$38),"")</f>
        <v/>
      </c>
      <c r="AL41" s="56" t="str">
        <f>IF(AND('Mapa final'!$Y$39="Baja",'Mapa final'!$AA$39="Catastrófico"),CONCATENATE("R6C",'Mapa final'!$O$39),"")</f>
        <v/>
      </c>
      <c r="AM41" s="57" t="str">
        <f>IF(AND('Mapa final'!$Y$40="Baja",'Mapa final'!$AA$40="Catastrófico"),CONCATENATE("R6C",'Mapa final'!$O$40),"")</f>
        <v/>
      </c>
      <c r="AN41" s="84"/>
      <c r="AO41" s="378"/>
      <c r="AP41" s="379"/>
      <c r="AQ41" s="379"/>
      <c r="AR41" s="379"/>
      <c r="AS41" s="379"/>
      <c r="AT41" s="380"/>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305"/>
      <c r="C42" s="305"/>
      <c r="D42" s="306"/>
      <c r="E42" s="346"/>
      <c r="F42" s="347"/>
      <c r="G42" s="347"/>
      <c r="H42" s="347"/>
      <c r="I42" s="363"/>
      <c r="J42" s="77" t="str">
        <f>IF(AND('Mapa final'!$Y$41="Baja",'Mapa final'!$AA$41="Leve"),CONCATENATE("R7C",'Mapa final'!$O$41),"")</f>
        <v/>
      </c>
      <c r="K42" s="78" t="str">
        <f>IF(AND('Mapa final'!$Y$42="Baja",'Mapa final'!$AA$42="Leve"),CONCATENATE("R7C",'Mapa final'!$O$42),"")</f>
        <v/>
      </c>
      <c r="L42" s="78" t="str">
        <f>IF(AND('Mapa final'!$Y$43="Baja",'Mapa final'!$AA$43="Leve"),CONCATENATE("R7C",'Mapa final'!$O$43),"")</f>
        <v/>
      </c>
      <c r="M42" s="78" t="str">
        <f>IF(AND('Mapa final'!$Y$44="Baja",'Mapa final'!$AA$44="Leve"),CONCATENATE("R7C",'Mapa final'!$O$44),"")</f>
        <v/>
      </c>
      <c r="N42" s="78" t="str">
        <f>IF(AND('Mapa final'!$Y$45="Baja",'Mapa final'!$AA$45="Leve"),CONCATENATE("R7C",'Mapa final'!$O$45),"")</f>
        <v/>
      </c>
      <c r="O42" s="79" t="str">
        <f>IF(AND('Mapa final'!$Y$46="Baja",'Mapa final'!$AA$46="Leve"),CONCATENATE("R7C",'Mapa final'!$O$46),"")</f>
        <v/>
      </c>
      <c r="P42" s="68" t="str">
        <f>IF(AND('Mapa final'!$Y$41="Baja",'Mapa final'!$AA$41="Menor"),CONCATENATE("R7C",'Mapa final'!$O$41),"")</f>
        <v/>
      </c>
      <c r="Q42" s="69" t="str">
        <f>IF(AND('Mapa final'!$Y$42="Baja",'Mapa final'!$AA$42="Menor"),CONCATENATE("R7C",'Mapa final'!$O$42),"")</f>
        <v/>
      </c>
      <c r="R42" s="69" t="str">
        <f>IF(AND('Mapa final'!$Y$43="Baja",'Mapa final'!$AA$43="Menor"),CONCATENATE("R7C",'Mapa final'!$O$43),"")</f>
        <v/>
      </c>
      <c r="S42" s="69" t="str">
        <f>IF(AND('Mapa final'!$Y$44="Baja",'Mapa final'!$AA$44="Menor"),CONCATENATE("R7C",'Mapa final'!$O$44),"")</f>
        <v/>
      </c>
      <c r="T42" s="69" t="str">
        <f>IF(AND('Mapa final'!$Y$45="Baja",'Mapa final'!$AA$45="Menor"),CONCATENATE("R7C",'Mapa final'!$O$45),"")</f>
        <v/>
      </c>
      <c r="U42" s="70" t="str">
        <f>IF(AND('Mapa final'!$Y$46="Baja",'Mapa final'!$AA$46="Menor"),CONCATENATE("R7C",'Mapa final'!$O$46),"")</f>
        <v/>
      </c>
      <c r="V42" s="68" t="str">
        <f>IF(AND('Mapa final'!$Y$41="Baja",'Mapa final'!$AA$41="Moderado"),CONCATENATE("R7C",'Mapa final'!$O$41),"")</f>
        <v/>
      </c>
      <c r="W42" s="69" t="str">
        <f>IF(AND('Mapa final'!$Y$42="Baja",'Mapa final'!$AA$42="Moderado"),CONCATENATE("R7C",'Mapa final'!$O$42),"")</f>
        <v/>
      </c>
      <c r="X42" s="69" t="str">
        <f>IF(AND('Mapa final'!$Y$43="Baja",'Mapa final'!$AA$43="Moderado"),CONCATENATE("R7C",'Mapa final'!$O$43),"")</f>
        <v/>
      </c>
      <c r="Y42" s="69" t="str">
        <f>IF(AND('Mapa final'!$Y$44="Baja",'Mapa final'!$AA$44="Moderado"),CONCATENATE("R7C",'Mapa final'!$O$44),"")</f>
        <v/>
      </c>
      <c r="Z42" s="69" t="str">
        <f>IF(AND('Mapa final'!$Y$45="Baja",'Mapa final'!$AA$45="Moderado"),CONCATENATE("R7C",'Mapa final'!$O$45),"")</f>
        <v/>
      </c>
      <c r="AA42" s="70" t="str">
        <f>IF(AND('Mapa final'!$Y$46="Baja",'Mapa final'!$AA$46="Moderado"),CONCATENATE("R7C",'Mapa final'!$O$46),"")</f>
        <v/>
      </c>
      <c r="AB42" s="52" t="str">
        <f>IF(AND('Mapa final'!$Y$41="Baja",'Mapa final'!$AA$41="Mayor"),CONCATENATE("R7C",'Mapa final'!$O$41),"")</f>
        <v/>
      </c>
      <c r="AC42" s="53" t="str">
        <f>IF(AND('Mapa final'!$Y$42="Baja",'Mapa final'!$AA$42="Mayor"),CONCATENATE("R7C",'Mapa final'!$O$42),"")</f>
        <v/>
      </c>
      <c r="AD42" s="58" t="str">
        <f>IF(AND('Mapa final'!$Y$43="Baja",'Mapa final'!$AA$43="Mayor"),CONCATENATE("R7C",'Mapa final'!$O$43),"")</f>
        <v/>
      </c>
      <c r="AE42" s="58" t="str">
        <f>IF(AND('Mapa final'!$Y$44="Baja",'Mapa final'!$AA$44="Mayor"),CONCATENATE("R7C",'Mapa final'!$O$44),"")</f>
        <v/>
      </c>
      <c r="AF42" s="58" t="str">
        <f>IF(AND('Mapa final'!$Y$45="Baja",'Mapa final'!$AA$45="Mayor"),CONCATENATE("R7C",'Mapa final'!$O$45),"")</f>
        <v/>
      </c>
      <c r="AG42" s="54" t="str">
        <f>IF(AND('Mapa final'!$Y$46="Baja",'Mapa final'!$AA$46="Mayor"),CONCATENATE("R7C",'Mapa final'!$O$46),"")</f>
        <v/>
      </c>
      <c r="AH42" s="55" t="str">
        <f>IF(AND('Mapa final'!$Y$41="Baja",'Mapa final'!$AA$41="Catastrófico"),CONCATENATE("R7C",'Mapa final'!$O$41),"")</f>
        <v/>
      </c>
      <c r="AI42" s="56" t="str">
        <f>IF(AND('Mapa final'!$Y$42="Baja",'Mapa final'!$AA$42="Catastrófico"),CONCATENATE("R7C",'Mapa final'!$O$42),"")</f>
        <v/>
      </c>
      <c r="AJ42" s="56" t="str">
        <f>IF(AND('Mapa final'!$Y$43="Baja",'Mapa final'!$AA$43="Catastrófico"),CONCATENATE("R7C",'Mapa final'!$O$43),"")</f>
        <v/>
      </c>
      <c r="AK42" s="56" t="str">
        <f>IF(AND('Mapa final'!$Y$44="Baja",'Mapa final'!$AA$44="Catastrófico"),CONCATENATE("R7C",'Mapa final'!$O$44),"")</f>
        <v/>
      </c>
      <c r="AL42" s="56" t="str">
        <f>IF(AND('Mapa final'!$Y$45="Baja",'Mapa final'!$AA$45="Catastrófico"),CONCATENATE("R7C",'Mapa final'!$O$45),"")</f>
        <v/>
      </c>
      <c r="AM42" s="57" t="str">
        <f>IF(AND('Mapa final'!$Y$46="Baja",'Mapa final'!$AA$46="Catastrófico"),CONCATENATE("R7C",'Mapa final'!$O$46),"")</f>
        <v/>
      </c>
      <c r="AN42" s="84"/>
      <c r="AO42" s="378"/>
      <c r="AP42" s="379"/>
      <c r="AQ42" s="379"/>
      <c r="AR42" s="379"/>
      <c r="AS42" s="379"/>
      <c r="AT42" s="380"/>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305"/>
      <c r="C43" s="305"/>
      <c r="D43" s="306"/>
      <c r="E43" s="346"/>
      <c r="F43" s="347"/>
      <c r="G43" s="347"/>
      <c r="H43" s="347"/>
      <c r="I43" s="363"/>
      <c r="J43" s="77" t="str">
        <f>IF(AND('Mapa final'!$Y$47="Baja",'Mapa final'!$AA$47="Leve"),CONCATENATE("R8C",'Mapa final'!$O$47),"")</f>
        <v/>
      </c>
      <c r="K43" s="78" t="str">
        <f>IF(AND('Mapa final'!$Y$48="Baja",'Mapa final'!$AA$48="Leve"),CONCATENATE("R8C",'Mapa final'!$O$48),"")</f>
        <v/>
      </c>
      <c r="L43" s="78" t="str">
        <f>IF(AND('Mapa final'!$Y$49="Baja",'Mapa final'!$AA$49="Leve"),CONCATENATE("R8C",'Mapa final'!$O$49),"")</f>
        <v/>
      </c>
      <c r="M43" s="78" t="str">
        <f>IF(AND('Mapa final'!$Y$50="Baja",'Mapa final'!$AA$50="Leve"),CONCATENATE("R8C",'Mapa final'!$O$50),"")</f>
        <v/>
      </c>
      <c r="N43" s="78" t="str">
        <f>IF(AND('Mapa final'!$Y$51="Baja",'Mapa final'!$AA$51="Leve"),CONCATENATE("R8C",'Mapa final'!$O$51),"")</f>
        <v/>
      </c>
      <c r="O43" s="79" t="str">
        <f>IF(AND('Mapa final'!$Y$52="Baja",'Mapa final'!$AA$52="Leve"),CONCATENATE("R8C",'Mapa final'!$O$52),"")</f>
        <v/>
      </c>
      <c r="P43" s="68" t="str">
        <f>IF(AND('Mapa final'!$Y$47="Baja",'Mapa final'!$AA$47="Menor"),CONCATENATE("R8C",'Mapa final'!$O$47),"")</f>
        <v/>
      </c>
      <c r="Q43" s="69" t="str">
        <f>IF(AND('Mapa final'!$Y$48="Baja",'Mapa final'!$AA$48="Menor"),CONCATENATE("R8C",'Mapa final'!$O$48),"")</f>
        <v/>
      </c>
      <c r="R43" s="69" t="str">
        <f>IF(AND('Mapa final'!$Y$49="Baja",'Mapa final'!$AA$49="Menor"),CONCATENATE("R8C",'Mapa final'!$O$49),"")</f>
        <v/>
      </c>
      <c r="S43" s="69" t="str">
        <f>IF(AND('Mapa final'!$Y$50="Baja",'Mapa final'!$AA$50="Menor"),CONCATENATE("R8C",'Mapa final'!$O$50),"")</f>
        <v/>
      </c>
      <c r="T43" s="69" t="str">
        <f>IF(AND('Mapa final'!$Y$51="Baja",'Mapa final'!$AA$51="Menor"),CONCATENATE("R8C",'Mapa final'!$O$51),"")</f>
        <v/>
      </c>
      <c r="U43" s="70" t="str">
        <f>IF(AND('Mapa final'!$Y$52="Baja",'Mapa final'!$AA$52="Menor"),CONCATENATE("R8C",'Mapa final'!$O$52),"")</f>
        <v/>
      </c>
      <c r="V43" s="68" t="str">
        <f>IF(AND('Mapa final'!$Y$47="Baja",'Mapa final'!$AA$47="Moderado"),CONCATENATE("R8C",'Mapa final'!$O$47),"")</f>
        <v/>
      </c>
      <c r="W43" s="69" t="str">
        <f>IF(AND('Mapa final'!$Y$48="Baja",'Mapa final'!$AA$48="Moderado"),CONCATENATE("R8C",'Mapa final'!$O$48),"")</f>
        <v/>
      </c>
      <c r="X43" s="69" t="str">
        <f>IF(AND('Mapa final'!$Y$49="Baja",'Mapa final'!$AA$49="Moderado"),CONCATENATE("R8C",'Mapa final'!$O$49),"")</f>
        <v/>
      </c>
      <c r="Y43" s="69" t="str">
        <f>IF(AND('Mapa final'!$Y$50="Baja",'Mapa final'!$AA$50="Moderado"),CONCATENATE("R8C",'Mapa final'!$O$50),"")</f>
        <v/>
      </c>
      <c r="Z43" s="69" t="str">
        <f>IF(AND('Mapa final'!$Y$51="Baja",'Mapa final'!$AA$51="Moderado"),CONCATENATE("R8C",'Mapa final'!$O$51),"")</f>
        <v/>
      </c>
      <c r="AA43" s="70" t="str">
        <f>IF(AND('Mapa final'!$Y$52="Baja",'Mapa final'!$AA$52="Moderado"),CONCATENATE("R8C",'Mapa final'!$O$52),"")</f>
        <v/>
      </c>
      <c r="AB43" s="52" t="str">
        <f>IF(AND('Mapa final'!$Y$47="Baja",'Mapa final'!$AA$47="Mayor"),CONCATENATE("R8C",'Mapa final'!$O$47),"")</f>
        <v/>
      </c>
      <c r="AC43" s="53" t="str">
        <f>IF(AND('Mapa final'!$Y$48="Baja",'Mapa final'!$AA$48="Mayor"),CONCATENATE("R8C",'Mapa final'!$O$48),"")</f>
        <v/>
      </c>
      <c r="AD43" s="58" t="str">
        <f>IF(AND('Mapa final'!$Y$49="Baja",'Mapa final'!$AA$49="Mayor"),CONCATENATE("R8C",'Mapa final'!$O$49),"")</f>
        <v/>
      </c>
      <c r="AE43" s="58" t="str">
        <f>IF(AND('Mapa final'!$Y$50="Baja",'Mapa final'!$AA$50="Mayor"),CONCATENATE("R8C",'Mapa final'!$O$50),"")</f>
        <v/>
      </c>
      <c r="AF43" s="58" t="str">
        <f>IF(AND('Mapa final'!$Y$51="Baja",'Mapa final'!$AA$51="Mayor"),CONCATENATE("R8C",'Mapa final'!$O$51),"")</f>
        <v/>
      </c>
      <c r="AG43" s="54" t="str">
        <f>IF(AND('Mapa final'!$Y$52="Baja",'Mapa final'!$AA$52="Mayor"),CONCATENATE("R8C",'Mapa final'!$O$52),"")</f>
        <v/>
      </c>
      <c r="AH43" s="55" t="str">
        <f>IF(AND('Mapa final'!$Y$47="Baja",'Mapa final'!$AA$47="Catastrófico"),CONCATENATE("R8C",'Mapa final'!$O$47),"")</f>
        <v/>
      </c>
      <c r="AI43" s="56" t="str">
        <f>IF(AND('Mapa final'!$Y$48="Baja",'Mapa final'!$AA$48="Catastrófico"),CONCATENATE("R8C",'Mapa final'!$O$48),"")</f>
        <v/>
      </c>
      <c r="AJ43" s="56" t="str">
        <f>IF(AND('Mapa final'!$Y$49="Baja",'Mapa final'!$AA$49="Catastrófico"),CONCATENATE("R8C",'Mapa final'!$O$49),"")</f>
        <v/>
      </c>
      <c r="AK43" s="56" t="str">
        <f>IF(AND('Mapa final'!$Y$50="Baja",'Mapa final'!$AA$50="Catastrófico"),CONCATENATE("R8C",'Mapa final'!$O$50),"")</f>
        <v/>
      </c>
      <c r="AL43" s="56" t="str">
        <f>IF(AND('Mapa final'!$Y$51="Baja",'Mapa final'!$AA$51="Catastrófico"),CONCATENATE("R8C",'Mapa final'!$O$51),"")</f>
        <v/>
      </c>
      <c r="AM43" s="57" t="str">
        <f>IF(AND('Mapa final'!$Y$52="Baja",'Mapa final'!$AA$52="Catastrófico"),CONCATENATE("R8C",'Mapa final'!$O$52),"")</f>
        <v/>
      </c>
      <c r="AN43" s="84"/>
      <c r="AO43" s="378"/>
      <c r="AP43" s="379"/>
      <c r="AQ43" s="379"/>
      <c r="AR43" s="379"/>
      <c r="AS43" s="379"/>
      <c r="AT43" s="380"/>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305"/>
      <c r="C44" s="305"/>
      <c r="D44" s="306"/>
      <c r="E44" s="346"/>
      <c r="F44" s="347"/>
      <c r="G44" s="347"/>
      <c r="H44" s="347"/>
      <c r="I44" s="363"/>
      <c r="J44" s="77" t="str">
        <f>IF(AND('Mapa final'!$Y$53="Baja",'Mapa final'!$AA$53="Leve"),CONCATENATE("R9C",'Mapa final'!$O$53),"")</f>
        <v/>
      </c>
      <c r="K44" s="78" t="str">
        <f>IF(AND('Mapa final'!$Y$54="Baja",'Mapa final'!$AA$54="Leve"),CONCATENATE("R9C",'Mapa final'!$O$54),"")</f>
        <v/>
      </c>
      <c r="L44" s="78" t="str">
        <f>IF(AND('Mapa final'!$Y$55="Baja",'Mapa final'!$AA$55="Leve"),CONCATENATE("R9C",'Mapa final'!$O$55),"")</f>
        <v/>
      </c>
      <c r="M44" s="78" t="str">
        <f>IF(AND('Mapa final'!$Y$56="Baja",'Mapa final'!$AA$56="Leve"),CONCATENATE("R9C",'Mapa final'!$O$56),"")</f>
        <v/>
      </c>
      <c r="N44" s="78" t="str">
        <f>IF(AND('Mapa final'!$Y$57="Baja",'Mapa final'!$AA$57="Leve"),CONCATENATE("R9C",'Mapa final'!$O$57),"")</f>
        <v/>
      </c>
      <c r="O44" s="79" t="str">
        <f>IF(AND('Mapa final'!$Y$58="Baja",'Mapa final'!$AA$58="Leve"),CONCATENATE("R9C",'Mapa final'!$O$58),"")</f>
        <v/>
      </c>
      <c r="P44" s="68" t="str">
        <f>IF(AND('Mapa final'!$Y$53="Baja",'Mapa final'!$AA$53="Menor"),CONCATENATE("R9C",'Mapa final'!$O$53),"")</f>
        <v/>
      </c>
      <c r="Q44" s="69" t="str">
        <f>IF(AND('Mapa final'!$Y$54="Baja",'Mapa final'!$AA$54="Menor"),CONCATENATE("R9C",'Mapa final'!$O$54),"")</f>
        <v/>
      </c>
      <c r="R44" s="69" t="str">
        <f>IF(AND('Mapa final'!$Y$55="Baja",'Mapa final'!$AA$55="Menor"),CONCATENATE("R9C",'Mapa final'!$O$55),"")</f>
        <v/>
      </c>
      <c r="S44" s="69" t="str">
        <f>IF(AND('Mapa final'!$Y$56="Baja",'Mapa final'!$AA$56="Menor"),CONCATENATE("R9C",'Mapa final'!$O$56),"")</f>
        <v/>
      </c>
      <c r="T44" s="69" t="str">
        <f>IF(AND('Mapa final'!$Y$57="Baja",'Mapa final'!$AA$57="Menor"),CONCATENATE("R9C",'Mapa final'!$O$57),"")</f>
        <v/>
      </c>
      <c r="U44" s="70" t="str">
        <f>IF(AND('Mapa final'!$Y$58="Baja",'Mapa final'!$AA$58="Menor"),CONCATENATE("R9C",'Mapa final'!$O$58),"")</f>
        <v/>
      </c>
      <c r="V44" s="68" t="str">
        <f>IF(AND('Mapa final'!$Y$53="Baja",'Mapa final'!$AA$53="Moderado"),CONCATENATE("R9C",'Mapa final'!$O$53),"")</f>
        <v/>
      </c>
      <c r="W44" s="69" t="str">
        <f>IF(AND('Mapa final'!$Y$54="Baja",'Mapa final'!$AA$54="Moderado"),CONCATENATE("R9C",'Mapa final'!$O$54),"")</f>
        <v/>
      </c>
      <c r="X44" s="69" t="str">
        <f>IF(AND('Mapa final'!$Y$55="Baja",'Mapa final'!$AA$55="Moderado"),CONCATENATE("R9C",'Mapa final'!$O$55),"")</f>
        <v/>
      </c>
      <c r="Y44" s="69" t="str">
        <f>IF(AND('Mapa final'!$Y$56="Baja",'Mapa final'!$AA$56="Moderado"),CONCATENATE("R9C",'Mapa final'!$O$56),"")</f>
        <v/>
      </c>
      <c r="Z44" s="69" t="str">
        <f>IF(AND('Mapa final'!$Y$57="Baja",'Mapa final'!$AA$57="Moderado"),CONCATENATE("R9C",'Mapa final'!$O$57),"")</f>
        <v/>
      </c>
      <c r="AA44" s="70" t="str">
        <f>IF(AND('Mapa final'!$Y$58="Baja",'Mapa final'!$AA$58="Moderado"),CONCATENATE("R9C",'Mapa final'!$O$58),"")</f>
        <v/>
      </c>
      <c r="AB44" s="52" t="str">
        <f>IF(AND('Mapa final'!$Y$53="Baja",'Mapa final'!$AA$53="Mayor"),CONCATENATE("R9C",'Mapa final'!$O$53),"")</f>
        <v/>
      </c>
      <c r="AC44" s="53" t="str">
        <f>IF(AND('Mapa final'!$Y$54="Baja",'Mapa final'!$AA$54="Mayor"),CONCATENATE("R9C",'Mapa final'!$O$54),"")</f>
        <v/>
      </c>
      <c r="AD44" s="58" t="str">
        <f>IF(AND('Mapa final'!$Y$55="Baja",'Mapa final'!$AA$55="Mayor"),CONCATENATE("R9C",'Mapa final'!$O$55),"")</f>
        <v/>
      </c>
      <c r="AE44" s="58" t="str">
        <f>IF(AND('Mapa final'!$Y$56="Baja",'Mapa final'!$AA$56="Mayor"),CONCATENATE("R9C",'Mapa final'!$O$56),"")</f>
        <v/>
      </c>
      <c r="AF44" s="58" t="str">
        <f>IF(AND('Mapa final'!$Y$57="Baja",'Mapa final'!$AA$57="Mayor"),CONCATENATE("R9C",'Mapa final'!$O$57),"")</f>
        <v/>
      </c>
      <c r="AG44" s="54" t="str">
        <f>IF(AND('Mapa final'!$Y$58="Baja",'Mapa final'!$AA$58="Mayor"),CONCATENATE("R9C",'Mapa final'!$O$58),"")</f>
        <v/>
      </c>
      <c r="AH44" s="55" t="str">
        <f>IF(AND('Mapa final'!$Y$53="Baja",'Mapa final'!$AA$53="Catastrófico"),CONCATENATE("R9C",'Mapa final'!$O$53),"")</f>
        <v/>
      </c>
      <c r="AI44" s="56" t="str">
        <f>IF(AND('Mapa final'!$Y$54="Baja",'Mapa final'!$AA$54="Catastrófico"),CONCATENATE("R9C",'Mapa final'!$O$54),"")</f>
        <v/>
      </c>
      <c r="AJ44" s="56" t="str">
        <f>IF(AND('Mapa final'!$Y$55="Baja",'Mapa final'!$AA$55="Catastrófico"),CONCATENATE("R9C",'Mapa final'!$O$55),"")</f>
        <v/>
      </c>
      <c r="AK44" s="56" t="str">
        <f>IF(AND('Mapa final'!$Y$56="Baja",'Mapa final'!$AA$56="Catastrófico"),CONCATENATE("R9C",'Mapa final'!$O$56),"")</f>
        <v/>
      </c>
      <c r="AL44" s="56" t="str">
        <f>IF(AND('Mapa final'!$Y$57="Baja",'Mapa final'!$AA$57="Catastrófico"),CONCATENATE("R9C",'Mapa final'!$O$57),"")</f>
        <v/>
      </c>
      <c r="AM44" s="57" t="str">
        <f>IF(AND('Mapa final'!$Y$58="Baja",'Mapa final'!$AA$58="Catastrófico"),CONCATENATE("R9C",'Mapa final'!$O$58),"")</f>
        <v/>
      </c>
      <c r="AN44" s="84"/>
      <c r="AO44" s="378"/>
      <c r="AP44" s="379"/>
      <c r="AQ44" s="379"/>
      <c r="AR44" s="379"/>
      <c r="AS44" s="379"/>
      <c r="AT44" s="380"/>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305"/>
      <c r="C45" s="305"/>
      <c r="D45" s="306"/>
      <c r="E45" s="349"/>
      <c r="F45" s="350"/>
      <c r="G45" s="350"/>
      <c r="H45" s="350"/>
      <c r="I45" s="350"/>
      <c r="J45" s="80" t="str">
        <f>IF(AND('Mapa final'!$Y$59="Baja",'Mapa final'!$AA$59="Leve"),CONCATENATE("R10C",'Mapa final'!$O$59),"")</f>
        <v/>
      </c>
      <c r="K45" s="81" t="str">
        <f>IF(AND('Mapa final'!$Y$60="Baja",'Mapa final'!$AA$60="Leve"),CONCATENATE("R10C",'Mapa final'!$O$60),"")</f>
        <v/>
      </c>
      <c r="L45" s="81" t="str">
        <f>IF(AND('Mapa final'!$Y$61="Baja",'Mapa final'!$AA$61="Leve"),CONCATENATE("R10C",'Mapa final'!$O$61),"")</f>
        <v/>
      </c>
      <c r="M45" s="81" t="str">
        <f>IF(AND('Mapa final'!$Y$62="Baja",'Mapa final'!$AA$62="Leve"),CONCATENATE("R10C",'Mapa final'!$O$62),"")</f>
        <v/>
      </c>
      <c r="N45" s="81" t="str">
        <f>IF(AND('Mapa final'!$Y$63="Baja",'Mapa final'!$AA$63="Leve"),CONCATENATE("R10C",'Mapa final'!$O$63),"")</f>
        <v/>
      </c>
      <c r="O45" s="82" t="str">
        <f>IF(AND('Mapa final'!$Y$64="Baja",'Mapa final'!$AA$64="Leve"),CONCATENATE("R10C",'Mapa final'!$O$64),"")</f>
        <v/>
      </c>
      <c r="P45" s="68" t="str">
        <f>IF(AND('Mapa final'!$Y$59="Baja",'Mapa final'!$AA$59="Menor"),CONCATENATE("R10C",'Mapa final'!$O$59),"")</f>
        <v/>
      </c>
      <c r="Q45" s="69" t="str">
        <f>IF(AND('Mapa final'!$Y$60="Baja",'Mapa final'!$AA$60="Menor"),CONCATENATE("R10C",'Mapa final'!$O$60),"")</f>
        <v/>
      </c>
      <c r="R45" s="69" t="str">
        <f>IF(AND('Mapa final'!$Y$61="Baja",'Mapa final'!$AA$61="Menor"),CONCATENATE("R10C",'Mapa final'!$O$61),"")</f>
        <v/>
      </c>
      <c r="S45" s="69" t="str">
        <f>IF(AND('Mapa final'!$Y$62="Baja",'Mapa final'!$AA$62="Menor"),CONCATENATE("R10C",'Mapa final'!$O$62),"")</f>
        <v/>
      </c>
      <c r="T45" s="69" t="str">
        <f>IF(AND('Mapa final'!$Y$63="Baja",'Mapa final'!$AA$63="Menor"),CONCATENATE("R10C",'Mapa final'!$O$63),"")</f>
        <v/>
      </c>
      <c r="U45" s="70" t="str">
        <f>IF(AND('Mapa final'!$Y$64="Baja",'Mapa final'!$AA$64="Menor"),CONCATENATE("R10C",'Mapa final'!$O$64),"")</f>
        <v/>
      </c>
      <c r="V45" s="71" t="str">
        <f>IF(AND('Mapa final'!$Y$59="Baja",'Mapa final'!$AA$59="Moderado"),CONCATENATE("R10C",'Mapa final'!$O$59),"")</f>
        <v/>
      </c>
      <c r="W45" s="72" t="str">
        <f>IF(AND('Mapa final'!$Y$60="Baja",'Mapa final'!$AA$60="Moderado"),CONCATENATE("R10C",'Mapa final'!$O$60),"")</f>
        <v/>
      </c>
      <c r="X45" s="72" t="str">
        <f>IF(AND('Mapa final'!$Y$61="Baja",'Mapa final'!$AA$61="Moderado"),CONCATENATE("R10C",'Mapa final'!$O$61),"")</f>
        <v/>
      </c>
      <c r="Y45" s="72" t="str">
        <f>IF(AND('Mapa final'!$Y$62="Baja",'Mapa final'!$AA$62="Moderado"),CONCATENATE("R10C",'Mapa final'!$O$62),"")</f>
        <v/>
      </c>
      <c r="Z45" s="72" t="str">
        <f>IF(AND('Mapa final'!$Y$63="Baja",'Mapa final'!$AA$63="Moderado"),CONCATENATE("R10C",'Mapa final'!$O$63),"")</f>
        <v/>
      </c>
      <c r="AA45" s="73" t="str">
        <f>IF(AND('Mapa final'!$Y$64="Baja",'Mapa final'!$AA$64="Moderado"),CONCATENATE("R10C",'Mapa final'!$O$64),"")</f>
        <v/>
      </c>
      <c r="AB45" s="59" t="str">
        <f>IF(AND('Mapa final'!$Y$59="Baja",'Mapa final'!$AA$59="Mayor"),CONCATENATE("R10C",'Mapa final'!$O$59),"")</f>
        <v/>
      </c>
      <c r="AC45" s="60" t="str">
        <f>IF(AND('Mapa final'!$Y$60="Baja",'Mapa final'!$AA$60="Mayor"),CONCATENATE("R10C",'Mapa final'!$O$60),"")</f>
        <v/>
      </c>
      <c r="AD45" s="60" t="str">
        <f>IF(AND('Mapa final'!$Y$61="Baja",'Mapa final'!$AA$61="Mayor"),CONCATENATE("R10C",'Mapa final'!$O$61),"")</f>
        <v/>
      </c>
      <c r="AE45" s="60" t="str">
        <f>IF(AND('Mapa final'!$Y$62="Baja",'Mapa final'!$AA$62="Mayor"),CONCATENATE("R10C",'Mapa final'!$O$62),"")</f>
        <v/>
      </c>
      <c r="AF45" s="60" t="str">
        <f>IF(AND('Mapa final'!$Y$63="Baja",'Mapa final'!$AA$63="Mayor"),CONCATENATE("R10C",'Mapa final'!$O$63),"")</f>
        <v/>
      </c>
      <c r="AG45" s="61" t="str">
        <f>IF(AND('Mapa final'!$Y$64="Baja",'Mapa final'!$AA$64="Mayor"),CONCATENATE("R10C",'Mapa final'!$O$64),"")</f>
        <v/>
      </c>
      <c r="AH45" s="62" t="str">
        <f>IF(AND('Mapa final'!$Y$59="Baja",'Mapa final'!$AA$59="Catastrófico"),CONCATENATE("R10C",'Mapa final'!$O$59),"")</f>
        <v/>
      </c>
      <c r="AI45" s="63" t="str">
        <f>IF(AND('Mapa final'!$Y$60="Baja",'Mapa final'!$AA$60="Catastrófico"),CONCATENATE("R10C",'Mapa final'!$O$60),"")</f>
        <v/>
      </c>
      <c r="AJ45" s="63" t="str">
        <f>IF(AND('Mapa final'!$Y$61="Baja",'Mapa final'!$AA$61="Catastrófico"),CONCATENATE("R10C",'Mapa final'!$O$61),"")</f>
        <v/>
      </c>
      <c r="AK45" s="63" t="str">
        <f>IF(AND('Mapa final'!$Y$62="Baja",'Mapa final'!$AA$62="Catastrófico"),CONCATENATE("R10C",'Mapa final'!$O$62),"")</f>
        <v/>
      </c>
      <c r="AL45" s="63" t="str">
        <f>IF(AND('Mapa final'!$Y$63="Baja",'Mapa final'!$AA$63="Catastrófico"),CONCATENATE("R10C",'Mapa final'!$O$63),"")</f>
        <v/>
      </c>
      <c r="AM45" s="64" t="str">
        <f>IF(AND('Mapa final'!$Y$64="Baja",'Mapa final'!$AA$64="Catastrófico"),CONCATENATE("R10C",'Mapa final'!$O$64),"")</f>
        <v/>
      </c>
      <c r="AN45" s="84"/>
      <c r="AO45" s="381"/>
      <c r="AP45" s="382"/>
      <c r="AQ45" s="382"/>
      <c r="AR45" s="382"/>
      <c r="AS45" s="382"/>
      <c r="AT45" s="383"/>
    </row>
    <row r="46" spans="1:80" ht="46.5" customHeight="1" x14ac:dyDescent="0.6">
      <c r="A46" s="84"/>
      <c r="B46" s="305"/>
      <c r="C46" s="305"/>
      <c r="D46" s="306"/>
      <c r="E46" s="343" t="s">
        <v>113</v>
      </c>
      <c r="F46" s="344"/>
      <c r="G46" s="344"/>
      <c r="H46" s="344"/>
      <c r="I46" s="345"/>
      <c r="J46" s="74" t="str">
        <f>IF(AND('Mapa final'!$Y$10="Muy Baja",'Mapa final'!$AA$10="Leve"),CONCATENATE("R1C",'Mapa final'!$O$10),"")</f>
        <v/>
      </c>
      <c r="K46" s="75" t="str">
        <f>IF(AND('Mapa final'!$Y$11="Muy Baja",'Mapa final'!$AA$11="Leve"),CONCATENATE("R1C",'Mapa final'!$O$11),"")</f>
        <v/>
      </c>
      <c r="L46" s="75" t="str">
        <f>IF(AND('Mapa final'!$Y$12="Muy Baja",'Mapa final'!$AA$12="Leve"),CONCATENATE("R1C",'Mapa final'!$O$12),"")</f>
        <v/>
      </c>
      <c r="M46" s="75" t="str">
        <f>IF(AND('Mapa final'!$Y$13="Muy Baja",'Mapa final'!$AA$13="Leve"),CONCATENATE("R1C",'Mapa final'!$O$13),"")</f>
        <v/>
      </c>
      <c r="N46" s="75" t="e">
        <f>IF(AND('Mapa final'!#REF!="Muy Baja",'Mapa final'!#REF!="Leve"),CONCATENATE("R1C",'Mapa final'!#REF!),"")</f>
        <v>#REF!</v>
      </c>
      <c r="O46" s="76" t="str">
        <f>IF(AND('Mapa final'!$Y$14="Muy Baja",'Mapa final'!$AA$14="Leve"),CONCATENATE("R1C",'Mapa final'!$O$14),"")</f>
        <v/>
      </c>
      <c r="P46" s="74" t="str">
        <f>IF(AND('Mapa final'!$Y$10="Muy Baja",'Mapa final'!$AA$10="Menor"),CONCATENATE("R1C",'Mapa final'!$O$10),"")</f>
        <v/>
      </c>
      <c r="Q46" s="75" t="str">
        <f>IF(AND('Mapa final'!$Y$11="Muy Baja",'Mapa final'!$AA$11="Menor"),CONCATENATE("R1C",'Mapa final'!$O$11),"")</f>
        <v/>
      </c>
      <c r="R46" s="75" t="str">
        <f>IF(AND('Mapa final'!$Y$12="Muy Baja",'Mapa final'!$AA$12="Menor"),CONCATENATE("R1C",'Mapa final'!$O$12),"")</f>
        <v/>
      </c>
      <c r="S46" s="75" t="str">
        <f>IF(AND('Mapa final'!$Y$13="Muy Baja",'Mapa final'!$AA$13="Menor"),CONCATENATE("R1C",'Mapa final'!$O$13),"")</f>
        <v/>
      </c>
      <c r="T46" s="75" t="e">
        <f>IF(AND('Mapa final'!#REF!="Muy Baja",'Mapa final'!#REF!="Menor"),CONCATENATE("R1C",'Mapa final'!#REF!),"")</f>
        <v>#REF!</v>
      </c>
      <c r="U46" s="76" t="str">
        <f>IF(AND('Mapa final'!$Y$14="Muy Baja",'Mapa final'!$AA$14="Menor"),CONCATENATE("R1C",'Mapa final'!$O$14),"")</f>
        <v/>
      </c>
      <c r="V46" s="65" t="str">
        <f>IF(AND('Mapa final'!$Y$10="Muy Baja",'Mapa final'!$AA$10="Moderado"),CONCATENATE("R1C",'Mapa final'!$O$10),"")</f>
        <v/>
      </c>
      <c r="W46" s="83" t="str">
        <f>IF(AND('Mapa final'!$Y$11="Muy Baja",'Mapa final'!$AA$11="Moderado"),CONCATENATE("R1C",'Mapa final'!$O$11),"")</f>
        <v/>
      </c>
      <c r="X46" s="66" t="str">
        <f>IF(AND('Mapa final'!$Y$12="Muy Baja",'Mapa final'!$AA$12="Moderado"),CONCATENATE("R1C",'Mapa final'!$O$12),"")</f>
        <v/>
      </c>
      <c r="Y46" s="66" t="str">
        <f>IF(AND('Mapa final'!$Y$13="Muy Baja",'Mapa final'!$AA$13="Moderado"),CONCATENATE("R1C",'Mapa final'!$O$13),"")</f>
        <v/>
      </c>
      <c r="Z46" s="66" t="e">
        <f>IF(AND('Mapa final'!#REF!="Muy Baja",'Mapa final'!#REF!="Moderado"),CONCATENATE("R1C",'Mapa final'!#REF!),"")</f>
        <v>#REF!</v>
      </c>
      <c r="AA46" s="67" t="str">
        <f>IF(AND('Mapa final'!$Y$14="Muy Baja",'Mapa final'!$AA$14="Moderado"),CONCATENATE("R1C",'Mapa final'!$O$14),"")</f>
        <v/>
      </c>
      <c r="AB46" s="46" t="str">
        <f>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e">
        <f>IF(AND('Mapa final'!#REF!="Muy Baja",'Mapa final'!#REF!="Mayor"),CONCATENATE("R1C",'Mapa final'!#REF!),"")</f>
        <v>#REF!</v>
      </c>
      <c r="AG46" s="48" t="str">
        <f>IF(AND('Mapa final'!$Y$14="Muy Baja",'Mapa final'!$AA$14="Mayor"),CONCATENATE("R1C",'Mapa final'!$O$14),"")</f>
        <v/>
      </c>
      <c r="AH46" s="49" t="str">
        <f>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e">
        <f>IF(AND('Mapa final'!#REF!="Muy Baja",'Mapa final'!#REF!="Catastrófico"),CONCATENATE("R1C",'Mapa final'!#REF!),"")</f>
        <v>#REF!</v>
      </c>
      <c r="AM46" s="51" t="str">
        <f>IF(AND('Mapa final'!$Y$14="Muy Baja",'Mapa final'!$AA$14="Catastrófico"),CONCATENATE("R1C",'Mapa final'!$O$14),"")</f>
        <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305"/>
      <c r="C47" s="305"/>
      <c r="D47" s="306"/>
      <c r="E47" s="362"/>
      <c r="F47" s="363"/>
      <c r="G47" s="363"/>
      <c r="H47" s="363"/>
      <c r="I47" s="348"/>
      <c r="J47" s="77" t="str">
        <f>IF(AND('Mapa final'!$Y$15="Muy Baja",'Mapa final'!$AA$15="Leve"),CONCATENATE("R2C",'Mapa final'!$O$15),"")</f>
        <v/>
      </c>
      <c r="K47" s="78" t="str">
        <f>IF(AND('Mapa final'!$Y$16="Muy Baja",'Mapa final'!$AA$16="Leve"),CONCATENATE("R2C",'Mapa final'!$O$16),"")</f>
        <v/>
      </c>
      <c r="L47" s="78" t="str">
        <f>IF(AND('Mapa final'!$Y$17="Muy Baja",'Mapa final'!$AA$17="Leve"),CONCATENATE("R2C",'Mapa final'!$O$17),"")</f>
        <v/>
      </c>
      <c r="M47" s="78" t="str">
        <f>IF(AND('Mapa final'!$Y$18="Muy Baja",'Mapa final'!$AA$18="Leve"),CONCATENATE("R2C",'Mapa final'!$O$18),"")</f>
        <v/>
      </c>
      <c r="N47" s="78" t="str">
        <f>IF(AND('Mapa final'!$Y$19="Muy Baja",'Mapa final'!$AA$19="Leve"),CONCATENATE("R2C",'Mapa final'!$O$19),"")</f>
        <v/>
      </c>
      <c r="O47" s="79" t="str">
        <f>IF(AND('Mapa final'!$Y$20="Muy Baja",'Mapa final'!$AA$20="Leve"),CONCATENATE("R2C",'Mapa final'!$O$20),"")</f>
        <v/>
      </c>
      <c r="P47" s="77" t="str">
        <f>IF(AND('Mapa final'!$Y$15="Muy Baja",'Mapa final'!$AA$15="Menor"),CONCATENATE("R2C",'Mapa final'!$O$15),"")</f>
        <v/>
      </c>
      <c r="Q47" s="78" t="str">
        <f>IF(AND('Mapa final'!$Y$16="Muy Baja",'Mapa final'!$AA$16="Menor"),CONCATENATE("R2C",'Mapa final'!$O$16),"")</f>
        <v/>
      </c>
      <c r="R47" s="78" t="str">
        <f>IF(AND('Mapa final'!$Y$17="Muy Baja",'Mapa final'!$AA$17="Menor"),CONCATENATE("R2C",'Mapa final'!$O$17),"")</f>
        <v/>
      </c>
      <c r="S47" s="78" t="str">
        <f>IF(AND('Mapa final'!$Y$18="Muy Baja",'Mapa final'!$AA$18="Menor"),CONCATENATE("R2C",'Mapa final'!$O$18),"")</f>
        <v/>
      </c>
      <c r="T47" s="78" t="str">
        <f>IF(AND('Mapa final'!$Y$19="Muy Baja",'Mapa final'!$AA$19="Menor"),CONCATENATE("R2C",'Mapa final'!$O$19),"")</f>
        <v/>
      </c>
      <c r="U47" s="79" t="str">
        <f>IF(AND('Mapa final'!$Y$20="Muy Baja",'Mapa final'!$AA$20="Menor"),CONCATENATE("R2C",'Mapa final'!$O$20),"")</f>
        <v/>
      </c>
      <c r="V47" s="68" t="str">
        <f>IF(AND('Mapa final'!$Y$15="Muy Baja",'Mapa final'!$AA$15="Moderado"),CONCATENATE("R2C",'Mapa final'!$O$15),"")</f>
        <v/>
      </c>
      <c r="W47" s="69" t="str">
        <f>IF(AND('Mapa final'!$Y$16="Muy Baja",'Mapa final'!$AA$16="Moderado"),CONCATENATE("R2C",'Mapa final'!$O$16),"")</f>
        <v/>
      </c>
      <c r="X47" s="69" t="str">
        <f>IF(AND('Mapa final'!$Y$17="Muy Baja",'Mapa final'!$AA$17="Moderado"),CONCATENATE("R2C",'Mapa final'!$O$17),"")</f>
        <v/>
      </c>
      <c r="Y47" s="69" t="str">
        <f>IF(AND('Mapa final'!$Y$18="Muy Baja",'Mapa final'!$AA$18="Moderado"),CONCATENATE("R2C",'Mapa final'!$O$18),"")</f>
        <v/>
      </c>
      <c r="Z47" s="69" t="str">
        <f>IF(AND('Mapa final'!$Y$19="Muy Baja",'Mapa final'!$AA$19="Moderado"),CONCATENATE("R2C",'Mapa final'!$O$19),"")</f>
        <v/>
      </c>
      <c r="AA47" s="70" t="str">
        <f>IF(AND('Mapa final'!$Y$20="Muy Baja",'Mapa final'!$AA$20="Moderado"),CONCATENATE("R2C",'Mapa final'!$O$20),"")</f>
        <v/>
      </c>
      <c r="AB47" s="52" t="str">
        <f>IF(AND('Mapa final'!$Y$15="Muy Baja",'Mapa final'!$AA$15="Mayor"),CONCATENATE("R2C",'Mapa final'!$O$15),"")</f>
        <v/>
      </c>
      <c r="AC47" s="53" t="str">
        <f>IF(AND('Mapa final'!$Y$16="Muy Baja",'Mapa final'!$AA$16="Mayor"),CONCATENATE("R2C",'Mapa final'!$O$16),"")</f>
        <v/>
      </c>
      <c r="AD47" s="53" t="str">
        <f>IF(AND('Mapa final'!$Y$17="Muy Baja",'Mapa final'!$AA$17="Mayor"),CONCATENATE("R2C",'Mapa final'!$O$17),"")</f>
        <v/>
      </c>
      <c r="AE47" s="53" t="str">
        <f>IF(AND('Mapa final'!$Y$18="Muy Baja",'Mapa final'!$AA$18="Mayor"),CONCATENATE("R2C",'Mapa final'!$O$18),"")</f>
        <v/>
      </c>
      <c r="AF47" s="53" t="str">
        <f>IF(AND('Mapa final'!$Y$19="Muy Baja",'Mapa final'!$AA$19="Mayor"),CONCATENATE("R2C",'Mapa final'!$O$19),"")</f>
        <v/>
      </c>
      <c r="AG47" s="54" t="str">
        <f>IF(AND('Mapa final'!$Y$20="Muy Baja",'Mapa final'!$AA$20="Mayor"),CONCATENATE("R2C",'Mapa final'!$O$20),"")</f>
        <v/>
      </c>
      <c r="AH47" s="55" t="str">
        <f>IF(AND('Mapa final'!$Y$15="Muy Baja",'Mapa final'!$AA$15="Catastrófico"),CONCATENATE("R2C",'Mapa final'!$O$15),"")</f>
        <v/>
      </c>
      <c r="AI47" s="56" t="str">
        <f>IF(AND('Mapa final'!$Y$16="Muy Baja",'Mapa final'!$AA$16="Catastrófico"),CONCATENATE("R2C",'Mapa final'!$O$16),"")</f>
        <v/>
      </c>
      <c r="AJ47" s="56" t="str">
        <f>IF(AND('Mapa final'!$Y$17="Muy Baja",'Mapa final'!$AA$17="Catastrófico"),CONCATENATE("R2C",'Mapa final'!$O$17),"")</f>
        <v/>
      </c>
      <c r="AK47" s="56" t="str">
        <f>IF(AND('Mapa final'!$Y$18="Muy Baja",'Mapa final'!$AA$18="Catastrófico"),CONCATENATE("R2C",'Mapa final'!$O$18),"")</f>
        <v/>
      </c>
      <c r="AL47" s="56" t="str">
        <f>IF(AND('Mapa final'!$Y$19="Muy Baja",'Mapa final'!$AA$19="Catastrófico"),CONCATENATE("R2C",'Mapa final'!$O$19),"")</f>
        <v/>
      </c>
      <c r="AM47" s="57" t="str">
        <f>IF(AND('Mapa final'!$Y$20="Muy Baja",'Mapa final'!$AA$20="Catastrófico"),CONCATENATE("R2C",'Mapa final'!$O$20),"")</f>
        <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305"/>
      <c r="C48" s="305"/>
      <c r="D48" s="306"/>
      <c r="E48" s="362"/>
      <c r="F48" s="363"/>
      <c r="G48" s="363"/>
      <c r="H48" s="363"/>
      <c r="I48" s="348"/>
      <c r="J48" s="77" t="str">
        <f>IF(AND('Mapa final'!$Y$21="Muy Baja",'Mapa final'!$AA$21="Leve"),CONCATENATE("R3C",'Mapa final'!$O$21),"")</f>
        <v/>
      </c>
      <c r="K48" s="78" t="str">
        <f>IF(AND('Mapa final'!$Y$22="Muy Baja",'Mapa final'!$AA$22="Leve"),CONCATENATE("R3C",'Mapa final'!$O$22),"")</f>
        <v/>
      </c>
      <c r="L48" s="78" t="e">
        <f>IF(AND('Mapa final'!#REF!="Muy Baja",'Mapa final'!#REF!="Leve"),CONCATENATE("R3C",'Mapa final'!#REF!),"")</f>
        <v>#REF!</v>
      </c>
      <c r="M48" s="78" t="e">
        <f>IF(AND('Mapa final'!#REF!="Muy Baja",'Mapa final'!#REF!="Leve"),CONCATENATE("R3C",'Mapa final'!#REF!),"")</f>
        <v>#REF!</v>
      </c>
      <c r="N48" s="78" t="e">
        <f>IF(AND('Mapa final'!#REF!="Muy Baja",'Mapa final'!#REF!="Leve"),CONCATENATE("R3C",'Mapa final'!#REF!),"")</f>
        <v>#REF!</v>
      </c>
      <c r="O48" s="79" t="e">
        <f>IF(AND('Mapa final'!#REF!="Muy Baja",'Mapa final'!#REF!="Leve"),CONCATENATE("R3C",'Mapa final'!#REF!),"")</f>
        <v>#REF!</v>
      </c>
      <c r="P48" s="77" t="str">
        <f>IF(AND('Mapa final'!$Y$21="Muy Baja",'Mapa final'!$AA$21="Menor"),CONCATENATE("R3C",'Mapa final'!$O$21),"")</f>
        <v/>
      </c>
      <c r="Q48" s="78" t="str">
        <f>IF(AND('Mapa final'!$Y$22="Muy Baja",'Mapa final'!$AA$22="Menor"),CONCATENATE("R3C",'Mapa final'!$O$22),"")</f>
        <v/>
      </c>
      <c r="R48" s="78" t="e">
        <f>IF(AND('Mapa final'!#REF!="Muy Baja",'Mapa final'!#REF!="Menor"),CONCATENATE("R3C",'Mapa final'!#REF!),"")</f>
        <v>#REF!</v>
      </c>
      <c r="S48" s="78" t="e">
        <f>IF(AND('Mapa final'!#REF!="Muy Baja",'Mapa final'!#REF!="Menor"),CONCATENATE("R3C",'Mapa final'!#REF!),"")</f>
        <v>#REF!</v>
      </c>
      <c r="T48" s="78" t="e">
        <f>IF(AND('Mapa final'!#REF!="Muy Baja",'Mapa final'!#REF!="Menor"),CONCATENATE("R3C",'Mapa final'!#REF!),"")</f>
        <v>#REF!</v>
      </c>
      <c r="U48" s="79" t="e">
        <f>IF(AND('Mapa final'!#REF!="Muy Baja",'Mapa final'!#REF!="Menor"),CONCATENATE("R3C",'Mapa final'!#REF!),"")</f>
        <v>#REF!</v>
      </c>
      <c r="V48" s="68" t="str">
        <f>IF(AND('Mapa final'!$Y$21="Muy Baja",'Mapa final'!$AA$21="Moderado"),CONCATENATE("R3C",'Mapa final'!$O$21),"")</f>
        <v/>
      </c>
      <c r="W48" s="69" t="str">
        <f>IF(AND('Mapa final'!$Y$22="Muy Baja",'Mapa final'!$AA$22="Moderado"),CONCATENATE("R3C",'Mapa final'!$O$22),"")</f>
        <v/>
      </c>
      <c r="X48" s="69" t="e">
        <f>IF(AND('Mapa final'!#REF!="Muy Baja",'Mapa final'!#REF!="Moderado"),CONCATENATE("R3C",'Mapa final'!#REF!),"")</f>
        <v>#REF!</v>
      </c>
      <c r="Y48" s="69" t="e">
        <f>IF(AND('Mapa final'!#REF!="Muy Baja",'Mapa final'!#REF!="Moderado"),CONCATENATE("R3C",'Mapa final'!#REF!),"")</f>
        <v>#REF!</v>
      </c>
      <c r="Z48" s="69" t="e">
        <f>IF(AND('Mapa final'!#REF!="Muy Baja",'Mapa final'!#REF!="Moderado"),CONCATENATE("R3C",'Mapa final'!#REF!),"")</f>
        <v>#REF!</v>
      </c>
      <c r="AA48" s="70" t="e">
        <f>IF(AND('Mapa final'!#REF!="Muy Baja",'Mapa final'!#REF!="Moderado"),CONCATENATE("R3C",'Mapa final'!#REF!),"")</f>
        <v>#REF!</v>
      </c>
      <c r="AB48" s="52" t="str">
        <f>IF(AND('Mapa final'!$Y$21="Muy Baja",'Mapa final'!$AA$21="Mayor"),CONCATENATE("R3C",'Mapa final'!$O$21),"")</f>
        <v/>
      </c>
      <c r="AC48" s="53" t="str">
        <f>IF(AND('Mapa final'!$Y$22="Muy Baja",'Mapa final'!$AA$22="Mayor"),CONCATENATE("R3C",'Mapa final'!$O$22),"")</f>
        <v/>
      </c>
      <c r="AD48" s="53" t="e">
        <f>IF(AND('Mapa final'!#REF!="Muy Baja",'Mapa final'!#REF!="Mayor"),CONCATENATE("R3C",'Mapa final'!#REF!),"")</f>
        <v>#REF!</v>
      </c>
      <c r="AE48" s="53" t="e">
        <f>IF(AND('Mapa final'!#REF!="Muy Baja",'Mapa final'!#REF!="Mayor"),CONCATENATE("R3C",'Mapa final'!#REF!),"")</f>
        <v>#REF!</v>
      </c>
      <c r="AF48" s="53" t="e">
        <f>IF(AND('Mapa final'!#REF!="Muy Baja",'Mapa final'!#REF!="Mayor"),CONCATENATE("R3C",'Mapa final'!#REF!),"")</f>
        <v>#REF!</v>
      </c>
      <c r="AG48" s="54" t="e">
        <f>IF(AND('Mapa final'!#REF!="Muy Baja",'Mapa final'!#REF!="Mayor"),CONCATENATE("R3C",'Mapa final'!#REF!),"")</f>
        <v>#REF!</v>
      </c>
      <c r="AH48" s="55" t="str">
        <f>IF(AND('Mapa final'!$Y$21="Muy Baja",'Mapa final'!$AA$21="Catastrófico"),CONCATENATE("R3C",'Mapa final'!$O$21),"")</f>
        <v/>
      </c>
      <c r="AI48" s="56" t="str">
        <f>IF(AND('Mapa final'!$Y$22="Muy Baja",'Mapa final'!$AA$22="Catastrófico"),CONCATENATE("R3C",'Mapa final'!$O$22),"")</f>
        <v/>
      </c>
      <c r="AJ48" s="56" t="e">
        <f>IF(AND('Mapa final'!#REF!="Muy Baja",'Mapa final'!#REF!="Catastrófico"),CONCATENATE("R3C",'Mapa final'!#REF!),"")</f>
        <v>#REF!</v>
      </c>
      <c r="AK48" s="56" t="e">
        <f>IF(AND('Mapa final'!#REF!="Muy Baja",'Mapa final'!#REF!="Catastrófico"),CONCATENATE("R3C",'Mapa final'!#REF!),"")</f>
        <v>#REF!</v>
      </c>
      <c r="AL48" s="56" t="e">
        <f>IF(AND('Mapa final'!#REF!="Muy Baja",'Mapa final'!#REF!="Catastrófico"),CONCATENATE("R3C",'Mapa final'!#REF!),"")</f>
        <v>#REF!</v>
      </c>
      <c r="AM48" s="57" t="e">
        <f>IF(AND('Mapa final'!#REF!="Muy Baja",'Mapa final'!#REF!="Catastrófico"),CONCATENATE("R3C",'Mapa final'!#REF!),"")</f>
        <v>#REF!</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305"/>
      <c r="C49" s="305"/>
      <c r="D49" s="306"/>
      <c r="E49" s="346"/>
      <c r="F49" s="347"/>
      <c r="G49" s="347"/>
      <c r="H49" s="347"/>
      <c r="I49" s="348"/>
      <c r="J49" s="77" t="str">
        <f>IF(AND('Mapa final'!$Y$23="Muy Baja",'Mapa final'!$AA$23="Leve"),CONCATENATE("R4C",'Mapa final'!$O$23),"")</f>
        <v/>
      </c>
      <c r="K49" s="78" t="str">
        <f>IF(AND('Mapa final'!$Y$24="Muy Baja",'Mapa final'!$AA$24="Leve"),CONCATENATE("R4C",'Mapa final'!$O$24),"")</f>
        <v/>
      </c>
      <c r="L49" s="78" t="str">
        <f>IF(AND('Mapa final'!$Y$25="Muy Baja",'Mapa final'!$AA$25="Leve"),CONCATENATE("R4C",'Mapa final'!$O$25),"")</f>
        <v/>
      </c>
      <c r="M49" s="78" t="str">
        <f>IF(AND('Mapa final'!$Y$26="Muy Baja",'Mapa final'!$AA$26="Leve"),CONCATENATE("R4C",'Mapa final'!$O$26),"")</f>
        <v/>
      </c>
      <c r="N49" s="78" t="str">
        <f>IF(AND('Mapa final'!$Y$27="Muy Baja",'Mapa final'!$AA$27="Leve"),CONCATENATE("R4C",'Mapa final'!$O$27),"")</f>
        <v/>
      </c>
      <c r="O49" s="79" t="str">
        <f>IF(AND('Mapa final'!$Y$28="Muy Baja",'Mapa final'!$AA$28="Leve"),CONCATENATE("R4C",'Mapa final'!$O$28),"")</f>
        <v/>
      </c>
      <c r="P49" s="77" t="str">
        <f>IF(AND('Mapa final'!$Y$23="Muy Baja",'Mapa final'!$AA$23="Menor"),CONCATENATE("R4C",'Mapa final'!$O$23),"")</f>
        <v/>
      </c>
      <c r="Q49" s="78" t="str">
        <f>IF(AND('Mapa final'!$Y$24="Muy Baja",'Mapa final'!$AA$24="Menor"),CONCATENATE("R4C",'Mapa final'!$O$24),"")</f>
        <v/>
      </c>
      <c r="R49" s="78" t="str">
        <f>IF(AND('Mapa final'!$Y$25="Muy Baja",'Mapa final'!$AA$25="Menor"),CONCATENATE("R4C",'Mapa final'!$O$25),"")</f>
        <v/>
      </c>
      <c r="S49" s="78" t="str">
        <f>IF(AND('Mapa final'!$Y$26="Muy Baja",'Mapa final'!$AA$26="Menor"),CONCATENATE("R4C",'Mapa final'!$O$26),"")</f>
        <v/>
      </c>
      <c r="T49" s="78" t="str">
        <f>IF(AND('Mapa final'!$Y$27="Muy Baja",'Mapa final'!$AA$27="Menor"),CONCATENATE("R4C",'Mapa final'!$O$27),"")</f>
        <v/>
      </c>
      <c r="U49" s="79" t="str">
        <f>IF(AND('Mapa final'!$Y$28="Muy Baja",'Mapa final'!$AA$28="Menor"),CONCATENATE("R4C",'Mapa final'!$O$28),"")</f>
        <v/>
      </c>
      <c r="V49" s="68" t="str">
        <f>IF(AND('Mapa final'!$Y$23="Muy Baja",'Mapa final'!$AA$23="Moderado"),CONCATENATE("R4C",'Mapa final'!$O$23),"")</f>
        <v/>
      </c>
      <c r="W49" s="69" t="str">
        <f>IF(AND('Mapa final'!$Y$24="Muy Baja",'Mapa final'!$AA$24="Moderado"),CONCATENATE("R4C",'Mapa final'!$O$24),"")</f>
        <v/>
      </c>
      <c r="X49" s="69" t="str">
        <f>IF(AND('Mapa final'!$Y$25="Muy Baja",'Mapa final'!$AA$25="Moderado"),CONCATENATE("R4C",'Mapa final'!$O$25),"")</f>
        <v/>
      </c>
      <c r="Y49" s="69" t="str">
        <f>IF(AND('Mapa final'!$Y$26="Muy Baja",'Mapa final'!$AA$26="Moderado"),CONCATENATE("R4C",'Mapa final'!$O$26),"")</f>
        <v/>
      </c>
      <c r="Z49" s="69" t="str">
        <f>IF(AND('Mapa final'!$Y$27="Muy Baja",'Mapa final'!$AA$27="Moderado"),CONCATENATE("R4C",'Mapa final'!$O$27),"")</f>
        <v/>
      </c>
      <c r="AA49" s="70" t="str">
        <f>IF(AND('Mapa final'!$Y$28="Muy Baja",'Mapa final'!$AA$28="Moderado"),CONCATENATE("R4C",'Mapa final'!$O$28),"")</f>
        <v/>
      </c>
      <c r="AB49" s="52" t="str">
        <f>IF(AND('Mapa final'!$Y$23="Muy Baja",'Mapa final'!$AA$23="Mayor"),CONCATENATE("R4C",'Mapa final'!$O$23),"")</f>
        <v/>
      </c>
      <c r="AC49" s="53" t="str">
        <f>IF(AND('Mapa final'!$Y$24="Muy Baja",'Mapa final'!$AA$24="Mayor"),CONCATENATE("R4C",'Mapa final'!$O$24),"")</f>
        <v/>
      </c>
      <c r="AD49" s="53" t="str">
        <f>IF(AND('Mapa final'!$Y$25="Muy Baja",'Mapa final'!$AA$25="Mayor"),CONCATENATE("R4C",'Mapa final'!$O$25),"")</f>
        <v/>
      </c>
      <c r="AE49" s="53" t="str">
        <f>IF(AND('Mapa final'!$Y$26="Muy Baja",'Mapa final'!$AA$26="Mayor"),CONCATENATE("R4C",'Mapa final'!$O$26),"")</f>
        <v/>
      </c>
      <c r="AF49" s="53" t="str">
        <f>IF(AND('Mapa final'!$Y$27="Muy Baja",'Mapa final'!$AA$27="Mayor"),CONCATENATE("R4C",'Mapa final'!$O$27),"")</f>
        <v/>
      </c>
      <c r="AG49" s="54" t="str">
        <f>IF(AND('Mapa final'!$Y$28="Muy Baja",'Mapa final'!$AA$28="Mayor"),CONCATENATE("R4C",'Mapa final'!$O$28),"")</f>
        <v/>
      </c>
      <c r="AH49" s="55" t="str">
        <f>IF(AND('Mapa final'!$Y$23="Muy Baja",'Mapa final'!$AA$23="Catastrófico"),CONCATENATE("R4C",'Mapa final'!$O$23),"")</f>
        <v/>
      </c>
      <c r="AI49" s="56" t="str">
        <f>IF(AND('Mapa final'!$Y$24="Muy Baja",'Mapa final'!$AA$24="Catastrófico"),CONCATENATE("R4C",'Mapa final'!$O$24),"")</f>
        <v/>
      </c>
      <c r="AJ49" s="56" t="str">
        <f>IF(AND('Mapa final'!$Y$25="Muy Baja",'Mapa final'!$AA$25="Catastrófico"),CONCATENATE("R4C",'Mapa final'!$O$25),"")</f>
        <v/>
      </c>
      <c r="AK49" s="56" t="str">
        <f>IF(AND('Mapa final'!$Y$26="Muy Baja",'Mapa final'!$AA$26="Catastrófico"),CONCATENATE("R4C",'Mapa final'!$O$26),"")</f>
        <v/>
      </c>
      <c r="AL49" s="56" t="str">
        <f>IF(AND('Mapa final'!$Y$27="Muy Baja",'Mapa final'!$AA$27="Catastrófico"),CONCATENATE("R4C",'Mapa final'!$O$27),"")</f>
        <v/>
      </c>
      <c r="AM49" s="57" t="str">
        <f>IF(AND('Mapa final'!$Y$28="Muy Baja",'Mapa final'!$AA$28="Catastrófico"),CONCATENATE("R4C",'Mapa final'!$O$28),"")</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305"/>
      <c r="C50" s="305"/>
      <c r="D50" s="306"/>
      <c r="E50" s="346"/>
      <c r="F50" s="347"/>
      <c r="G50" s="347"/>
      <c r="H50" s="347"/>
      <c r="I50" s="348"/>
      <c r="J50" s="77" t="str">
        <f>IF(AND('Mapa final'!$Y$29="Muy Baja",'Mapa final'!$AA$29="Leve"),CONCATENATE("R5C",'Mapa final'!$O$29),"")</f>
        <v/>
      </c>
      <c r="K50" s="78" t="str">
        <f>IF(AND('Mapa final'!$Y$30="Muy Baja",'Mapa final'!$AA$30="Leve"),CONCATENATE("R5C",'Mapa final'!$O$30),"")</f>
        <v/>
      </c>
      <c r="L50" s="78" t="str">
        <f>IF(AND('Mapa final'!$Y$31="Muy Baja",'Mapa final'!$AA$31="Leve"),CONCATENATE("R5C",'Mapa final'!$O$31),"")</f>
        <v/>
      </c>
      <c r="M50" s="78" t="str">
        <f>IF(AND('Mapa final'!$Y$32="Muy Baja",'Mapa final'!$AA$32="Leve"),CONCATENATE("R5C",'Mapa final'!$O$32),"")</f>
        <v/>
      </c>
      <c r="N50" s="78" t="str">
        <f>IF(AND('Mapa final'!$Y$33="Muy Baja",'Mapa final'!$AA$33="Leve"),CONCATENATE("R5C",'Mapa final'!$O$33),"")</f>
        <v/>
      </c>
      <c r="O50" s="79" t="str">
        <f>IF(AND('Mapa final'!$Y$34="Muy Baja",'Mapa final'!$AA$34="Leve"),CONCATENATE("R5C",'Mapa final'!$O$34),"")</f>
        <v/>
      </c>
      <c r="P50" s="77" t="str">
        <f>IF(AND('Mapa final'!$Y$29="Muy Baja",'Mapa final'!$AA$29="Menor"),CONCATENATE("R5C",'Mapa final'!$O$29),"")</f>
        <v/>
      </c>
      <c r="Q50" s="78" t="str">
        <f>IF(AND('Mapa final'!$Y$30="Muy Baja",'Mapa final'!$AA$30="Menor"),CONCATENATE("R5C",'Mapa final'!$O$30),"")</f>
        <v/>
      </c>
      <c r="R50" s="78" t="str">
        <f>IF(AND('Mapa final'!$Y$31="Muy Baja",'Mapa final'!$AA$31="Menor"),CONCATENATE("R5C",'Mapa final'!$O$31),"")</f>
        <v/>
      </c>
      <c r="S50" s="78" t="str">
        <f>IF(AND('Mapa final'!$Y$32="Muy Baja",'Mapa final'!$AA$32="Menor"),CONCATENATE("R5C",'Mapa final'!$O$32),"")</f>
        <v/>
      </c>
      <c r="T50" s="78" t="str">
        <f>IF(AND('Mapa final'!$Y$33="Muy Baja",'Mapa final'!$AA$33="Menor"),CONCATENATE("R5C",'Mapa final'!$O$33),"")</f>
        <v/>
      </c>
      <c r="U50" s="79" t="str">
        <f>IF(AND('Mapa final'!$Y$34="Muy Baja",'Mapa final'!$AA$34="Menor"),CONCATENATE("R5C",'Mapa final'!$O$34),"")</f>
        <v/>
      </c>
      <c r="V50" s="68" t="str">
        <f>IF(AND('Mapa final'!$Y$29="Muy Baja",'Mapa final'!$AA$29="Moderado"),CONCATENATE("R5C",'Mapa final'!$O$29),"")</f>
        <v/>
      </c>
      <c r="W50" s="69" t="str">
        <f>IF(AND('Mapa final'!$Y$30="Muy Baja",'Mapa final'!$AA$30="Moderado"),CONCATENATE("R5C",'Mapa final'!$O$30),"")</f>
        <v/>
      </c>
      <c r="X50" s="69" t="str">
        <f>IF(AND('Mapa final'!$Y$31="Muy Baja",'Mapa final'!$AA$31="Moderado"),CONCATENATE("R5C",'Mapa final'!$O$31),"")</f>
        <v/>
      </c>
      <c r="Y50" s="69" t="str">
        <f>IF(AND('Mapa final'!$Y$32="Muy Baja",'Mapa final'!$AA$32="Moderado"),CONCATENATE("R5C",'Mapa final'!$O$32),"")</f>
        <v/>
      </c>
      <c r="Z50" s="69" t="str">
        <f>IF(AND('Mapa final'!$Y$33="Muy Baja",'Mapa final'!$AA$33="Moderado"),CONCATENATE("R5C",'Mapa final'!$O$33),"")</f>
        <v/>
      </c>
      <c r="AA50" s="70" t="str">
        <f>IF(AND('Mapa final'!$Y$34="Muy Baja",'Mapa final'!$AA$34="Moderado"),CONCATENATE("R5C",'Mapa final'!$O$34),"")</f>
        <v/>
      </c>
      <c r="AB50" s="52" t="str">
        <f>IF(AND('Mapa final'!$Y$29="Muy Baja",'Mapa final'!$AA$29="Mayor"),CONCATENATE("R5C",'Mapa final'!$O$29),"")</f>
        <v/>
      </c>
      <c r="AC50" s="53" t="str">
        <f>IF(AND('Mapa final'!$Y$30="Muy Baja",'Mapa final'!$AA$30="Mayor"),CONCATENATE("R5C",'Mapa final'!$O$30),"")</f>
        <v/>
      </c>
      <c r="AD50" s="58" t="str">
        <f>IF(AND('Mapa final'!$Y$31="Muy Baja",'Mapa final'!$AA$31="Mayor"),CONCATENATE("R5C",'Mapa final'!$O$31),"")</f>
        <v/>
      </c>
      <c r="AE50" s="58" t="str">
        <f>IF(AND('Mapa final'!$Y$32="Muy Baja",'Mapa final'!$AA$32="Mayor"),CONCATENATE("R5C",'Mapa final'!$O$32),"")</f>
        <v/>
      </c>
      <c r="AF50" s="58" t="str">
        <f>IF(AND('Mapa final'!$Y$33="Muy Baja",'Mapa final'!$AA$33="Mayor"),CONCATENATE("R5C",'Mapa final'!$O$33),"")</f>
        <v/>
      </c>
      <c r="AG50" s="54" t="str">
        <f>IF(AND('Mapa final'!$Y$34="Muy Baja",'Mapa final'!$AA$34="Mayor"),CONCATENATE("R5C",'Mapa final'!$O$34),"")</f>
        <v/>
      </c>
      <c r="AH50" s="55" t="str">
        <f>IF(AND('Mapa final'!$Y$29="Muy Baja",'Mapa final'!$AA$29="Catastrófico"),CONCATENATE("R5C",'Mapa final'!$O$29),"")</f>
        <v/>
      </c>
      <c r="AI50" s="56" t="str">
        <f>IF(AND('Mapa final'!$Y$30="Muy Baja",'Mapa final'!$AA$30="Catastrófico"),CONCATENATE("R5C",'Mapa final'!$O$30),"")</f>
        <v/>
      </c>
      <c r="AJ50" s="56" t="str">
        <f>IF(AND('Mapa final'!$Y$31="Muy Baja",'Mapa final'!$AA$31="Catastrófico"),CONCATENATE("R5C",'Mapa final'!$O$31),"")</f>
        <v/>
      </c>
      <c r="AK50" s="56" t="str">
        <f>IF(AND('Mapa final'!$Y$32="Muy Baja",'Mapa final'!$AA$32="Catastrófico"),CONCATENATE("R5C",'Mapa final'!$O$32),"")</f>
        <v/>
      </c>
      <c r="AL50" s="56" t="str">
        <f>IF(AND('Mapa final'!$Y$33="Muy Baja",'Mapa final'!$AA$33="Catastrófico"),CONCATENATE("R5C",'Mapa final'!$O$33),"")</f>
        <v/>
      </c>
      <c r="AM50" s="57" t="str">
        <f>IF(AND('Mapa final'!$Y$34="Muy Baja",'Mapa final'!$AA$34="Catastrófico"),CONCATENATE("R5C",'Mapa final'!$O$34),"")</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305"/>
      <c r="C51" s="305"/>
      <c r="D51" s="306"/>
      <c r="E51" s="346"/>
      <c r="F51" s="347"/>
      <c r="G51" s="347"/>
      <c r="H51" s="347"/>
      <c r="I51" s="348"/>
      <c r="J51" s="77" t="str">
        <f>IF(AND('Mapa final'!$Y$35="Muy Baja",'Mapa final'!$AA$35="Leve"),CONCATENATE("R6C",'Mapa final'!$O$35),"")</f>
        <v/>
      </c>
      <c r="K51" s="78" t="str">
        <f>IF(AND('Mapa final'!$Y$36="Muy Baja",'Mapa final'!$AA$36="Leve"),CONCATENATE("R6C",'Mapa final'!$O$36),"")</f>
        <v/>
      </c>
      <c r="L51" s="78" t="str">
        <f>IF(AND('Mapa final'!$Y$37="Muy Baja",'Mapa final'!$AA$37="Leve"),CONCATENATE("R6C",'Mapa final'!$O$37),"")</f>
        <v/>
      </c>
      <c r="M51" s="78" t="str">
        <f>IF(AND('Mapa final'!$Y$38="Muy Baja",'Mapa final'!$AA$38="Leve"),CONCATENATE("R6C",'Mapa final'!$O$38),"")</f>
        <v/>
      </c>
      <c r="N51" s="78" t="str">
        <f>IF(AND('Mapa final'!$Y$39="Muy Baja",'Mapa final'!$AA$39="Leve"),CONCATENATE("R6C",'Mapa final'!$O$39),"")</f>
        <v/>
      </c>
      <c r="O51" s="79" t="str">
        <f>IF(AND('Mapa final'!$Y$40="Muy Baja",'Mapa final'!$AA$40="Leve"),CONCATENATE("R6C",'Mapa final'!$O$40),"")</f>
        <v/>
      </c>
      <c r="P51" s="77" t="str">
        <f>IF(AND('Mapa final'!$Y$35="Muy Baja",'Mapa final'!$AA$35="Menor"),CONCATENATE("R6C",'Mapa final'!$O$35),"")</f>
        <v/>
      </c>
      <c r="Q51" s="78" t="str">
        <f>IF(AND('Mapa final'!$Y$36="Muy Baja",'Mapa final'!$AA$36="Menor"),CONCATENATE("R6C",'Mapa final'!$O$36),"")</f>
        <v/>
      </c>
      <c r="R51" s="78" t="str">
        <f>IF(AND('Mapa final'!$Y$37="Muy Baja",'Mapa final'!$AA$37="Menor"),CONCATENATE("R6C",'Mapa final'!$O$37),"")</f>
        <v/>
      </c>
      <c r="S51" s="78" t="str">
        <f>IF(AND('Mapa final'!$Y$38="Muy Baja",'Mapa final'!$AA$38="Menor"),CONCATENATE("R6C",'Mapa final'!$O$38),"")</f>
        <v/>
      </c>
      <c r="T51" s="78" t="str">
        <f>IF(AND('Mapa final'!$Y$39="Muy Baja",'Mapa final'!$AA$39="Menor"),CONCATENATE("R6C",'Mapa final'!$O$39),"")</f>
        <v/>
      </c>
      <c r="U51" s="79" t="str">
        <f>IF(AND('Mapa final'!$Y$40="Muy Baja",'Mapa final'!$AA$40="Menor"),CONCATENATE("R6C",'Mapa final'!$O$40),"")</f>
        <v/>
      </c>
      <c r="V51" s="68" t="str">
        <f>IF(AND('Mapa final'!$Y$35="Muy Baja",'Mapa final'!$AA$35="Moderado"),CONCATENATE("R6C",'Mapa final'!$O$35),"")</f>
        <v/>
      </c>
      <c r="W51" s="69" t="str">
        <f>IF(AND('Mapa final'!$Y$36="Muy Baja",'Mapa final'!$AA$36="Moderado"),CONCATENATE("R6C",'Mapa final'!$O$36),"")</f>
        <v/>
      </c>
      <c r="X51" s="69" t="str">
        <f>IF(AND('Mapa final'!$Y$37="Muy Baja",'Mapa final'!$AA$37="Moderado"),CONCATENATE("R6C",'Mapa final'!$O$37),"")</f>
        <v/>
      </c>
      <c r="Y51" s="69" t="str">
        <f>IF(AND('Mapa final'!$Y$38="Muy Baja",'Mapa final'!$AA$38="Moderado"),CONCATENATE("R6C",'Mapa final'!$O$38),"")</f>
        <v/>
      </c>
      <c r="Z51" s="69" t="str">
        <f>IF(AND('Mapa final'!$Y$39="Muy Baja",'Mapa final'!$AA$39="Moderado"),CONCATENATE("R6C",'Mapa final'!$O$39),"")</f>
        <v/>
      </c>
      <c r="AA51" s="70" t="str">
        <f>IF(AND('Mapa final'!$Y$40="Muy Baja",'Mapa final'!$AA$40="Moderado"),CONCATENATE("R6C",'Mapa final'!$O$40),"")</f>
        <v/>
      </c>
      <c r="AB51" s="52" t="str">
        <f>IF(AND('Mapa final'!$Y$35="Muy Baja",'Mapa final'!$AA$35="Mayor"),CONCATENATE("R6C",'Mapa final'!$O$35),"")</f>
        <v/>
      </c>
      <c r="AC51" s="53" t="str">
        <f>IF(AND('Mapa final'!$Y$36="Muy Baja",'Mapa final'!$AA$36="Mayor"),CONCATENATE("R6C",'Mapa final'!$O$36),"")</f>
        <v/>
      </c>
      <c r="AD51" s="58" t="str">
        <f>IF(AND('Mapa final'!$Y$37="Muy Baja",'Mapa final'!$AA$37="Mayor"),CONCATENATE("R6C",'Mapa final'!$O$37),"")</f>
        <v/>
      </c>
      <c r="AE51" s="58" t="str">
        <f>IF(AND('Mapa final'!$Y$38="Muy Baja",'Mapa final'!$AA$38="Mayor"),CONCATENATE("R6C",'Mapa final'!$O$38),"")</f>
        <v/>
      </c>
      <c r="AF51" s="58" t="str">
        <f>IF(AND('Mapa final'!$Y$39="Muy Baja",'Mapa final'!$AA$39="Mayor"),CONCATENATE("R6C",'Mapa final'!$O$39),"")</f>
        <v/>
      </c>
      <c r="AG51" s="54" t="str">
        <f>IF(AND('Mapa final'!$Y$40="Muy Baja",'Mapa final'!$AA$40="Mayor"),CONCATENATE("R6C",'Mapa final'!$O$40),"")</f>
        <v/>
      </c>
      <c r="AH51" s="55" t="str">
        <f>IF(AND('Mapa final'!$Y$35="Muy Baja",'Mapa final'!$AA$35="Catastrófico"),CONCATENATE("R6C",'Mapa final'!$O$35),"")</f>
        <v/>
      </c>
      <c r="AI51" s="56" t="str">
        <f>IF(AND('Mapa final'!$Y$36="Muy Baja",'Mapa final'!$AA$36="Catastrófico"),CONCATENATE("R6C",'Mapa final'!$O$36),"")</f>
        <v/>
      </c>
      <c r="AJ51" s="56" t="str">
        <f>IF(AND('Mapa final'!$Y$37="Muy Baja",'Mapa final'!$AA$37="Catastrófico"),CONCATENATE("R6C",'Mapa final'!$O$37),"")</f>
        <v/>
      </c>
      <c r="AK51" s="56" t="str">
        <f>IF(AND('Mapa final'!$Y$38="Muy Baja",'Mapa final'!$AA$38="Catastrófico"),CONCATENATE("R6C",'Mapa final'!$O$38),"")</f>
        <v/>
      </c>
      <c r="AL51" s="56" t="str">
        <f>IF(AND('Mapa final'!$Y$39="Muy Baja",'Mapa final'!$AA$39="Catastrófico"),CONCATENATE("R6C",'Mapa final'!$O$39),"")</f>
        <v/>
      </c>
      <c r="AM51" s="57" t="str">
        <f>IF(AND('Mapa final'!$Y$40="Muy Baja",'Mapa final'!$AA$40="Catastrófico"),CONCATENATE("R6C",'Mapa final'!$O$40),"")</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305"/>
      <c r="C52" s="305"/>
      <c r="D52" s="306"/>
      <c r="E52" s="346"/>
      <c r="F52" s="347"/>
      <c r="G52" s="347"/>
      <c r="H52" s="347"/>
      <c r="I52" s="348"/>
      <c r="J52" s="77" t="str">
        <f>IF(AND('Mapa final'!$Y$41="Muy Baja",'Mapa final'!$AA$41="Leve"),CONCATENATE("R7C",'Mapa final'!$O$41),"")</f>
        <v/>
      </c>
      <c r="K52" s="78" t="str">
        <f>IF(AND('Mapa final'!$Y$42="Muy Baja",'Mapa final'!$AA$42="Leve"),CONCATENATE("R7C",'Mapa final'!$O$42),"")</f>
        <v/>
      </c>
      <c r="L52" s="78" t="str">
        <f>IF(AND('Mapa final'!$Y$43="Muy Baja",'Mapa final'!$AA$43="Leve"),CONCATENATE("R7C",'Mapa final'!$O$43),"")</f>
        <v/>
      </c>
      <c r="M52" s="78" t="str">
        <f>IF(AND('Mapa final'!$Y$44="Muy Baja",'Mapa final'!$AA$44="Leve"),CONCATENATE("R7C",'Mapa final'!$O$44),"")</f>
        <v/>
      </c>
      <c r="N52" s="78" t="str">
        <f>IF(AND('Mapa final'!$Y$45="Muy Baja",'Mapa final'!$AA$45="Leve"),CONCATENATE("R7C",'Mapa final'!$O$45),"")</f>
        <v/>
      </c>
      <c r="O52" s="79" t="str">
        <f>IF(AND('Mapa final'!$Y$46="Muy Baja",'Mapa final'!$AA$46="Leve"),CONCATENATE("R7C",'Mapa final'!$O$46),"")</f>
        <v/>
      </c>
      <c r="P52" s="77" t="str">
        <f>IF(AND('Mapa final'!$Y$41="Muy Baja",'Mapa final'!$AA$41="Menor"),CONCATENATE("R7C",'Mapa final'!$O$41),"")</f>
        <v/>
      </c>
      <c r="Q52" s="78" t="str">
        <f>IF(AND('Mapa final'!$Y$42="Muy Baja",'Mapa final'!$AA$42="Menor"),CONCATENATE("R7C",'Mapa final'!$O$42),"")</f>
        <v/>
      </c>
      <c r="R52" s="78" t="str">
        <f>IF(AND('Mapa final'!$Y$43="Muy Baja",'Mapa final'!$AA$43="Menor"),CONCATENATE("R7C",'Mapa final'!$O$43),"")</f>
        <v/>
      </c>
      <c r="S52" s="78" t="str">
        <f>IF(AND('Mapa final'!$Y$44="Muy Baja",'Mapa final'!$AA$44="Menor"),CONCATENATE("R7C",'Mapa final'!$O$44),"")</f>
        <v/>
      </c>
      <c r="T52" s="78" t="str">
        <f>IF(AND('Mapa final'!$Y$45="Muy Baja",'Mapa final'!$AA$45="Menor"),CONCATENATE("R7C",'Mapa final'!$O$45),"")</f>
        <v/>
      </c>
      <c r="U52" s="79" t="str">
        <f>IF(AND('Mapa final'!$Y$46="Muy Baja",'Mapa final'!$AA$46="Menor"),CONCATENATE("R7C",'Mapa final'!$O$46),"")</f>
        <v/>
      </c>
      <c r="V52" s="68" t="str">
        <f>IF(AND('Mapa final'!$Y$41="Muy Baja",'Mapa final'!$AA$41="Moderado"),CONCATENATE("R7C",'Mapa final'!$O$41),"")</f>
        <v/>
      </c>
      <c r="W52" s="69" t="str">
        <f>IF(AND('Mapa final'!$Y$42="Muy Baja",'Mapa final'!$AA$42="Moderado"),CONCATENATE("R7C",'Mapa final'!$O$42),"")</f>
        <v/>
      </c>
      <c r="X52" s="69" t="str">
        <f>IF(AND('Mapa final'!$Y$43="Muy Baja",'Mapa final'!$AA$43="Moderado"),CONCATENATE("R7C",'Mapa final'!$O$43),"")</f>
        <v/>
      </c>
      <c r="Y52" s="69" t="str">
        <f>IF(AND('Mapa final'!$Y$44="Muy Baja",'Mapa final'!$AA$44="Moderado"),CONCATENATE("R7C",'Mapa final'!$O$44),"")</f>
        <v/>
      </c>
      <c r="Z52" s="69" t="str">
        <f>IF(AND('Mapa final'!$Y$45="Muy Baja",'Mapa final'!$AA$45="Moderado"),CONCATENATE("R7C",'Mapa final'!$O$45),"")</f>
        <v/>
      </c>
      <c r="AA52" s="70" t="str">
        <f>IF(AND('Mapa final'!$Y$46="Muy Baja",'Mapa final'!$AA$46="Moderado"),CONCATENATE("R7C",'Mapa final'!$O$46),"")</f>
        <v/>
      </c>
      <c r="AB52" s="52" t="str">
        <f>IF(AND('Mapa final'!$Y$41="Muy Baja",'Mapa final'!$AA$41="Mayor"),CONCATENATE("R7C",'Mapa final'!$O$41),"")</f>
        <v/>
      </c>
      <c r="AC52" s="53" t="str">
        <f>IF(AND('Mapa final'!$Y$42="Muy Baja",'Mapa final'!$AA$42="Mayor"),CONCATENATE("R7C",'Mapa final'!$O$42),"")</f>
        <v/>
      </c>
      <c r="AD52" s="58" t="str">
        <f>IF(AND('Mapa final'!$Y$43="Muy Baja",'Mapa final'!$AA$43="Mayor"),CONCATENATE("R7C",'Mapa final'!$O$43),"")</f>
        <v/>
      </c>
      <c r="AE52" s="58" t="str">
        <f>IF(AND('Mapa final'!$Y$44="Muy Baja",'Mapa final'!$AA$44="Mayor"),CONCATENATE("R7C",'Mapa final'!$O$44),"")</f>
        <v/>
      </c>
      <c r="AF52" s="58" t="str">
        <f>IF(AND('Mapa final'!$Y$45="Muy Baja",'Mapa final'!$AA$45="Mayor"),CONCATENATE("R7C",'Mapa final'!$O$45),"")</f>
        <v/>
      </c>
      <c r="AG52" s="54" t="str">
        <f>IF(AND('Mapa final'!$Y$46="Muy Baja",'Mapa final'!$AA$46="Mayor"),CONCATENATE("R7C",'Mapa final'!$O$46),"")</f>
        <v/>
      </c>
      <c r="AH52" s="55" t="str">
        <f>IF(AND('Mapa final'!$Y$41="Muy Baja",'Mapa final'!$AA$41="Catastrófico"),CONCATENATE("R7C",'Mapa final'!$O$41),"")</f>
        <v/>
      </c>
      <c r="AI52" s="56" t="str">
        <f>IF(AND('Mapa final'!$Y$42="Muy Baja",'Mapa final'!$AA$42="Catastrófico"),CONCATENATE("R7C",'Mapa final'!$O$42),"")</f>
        <v/>
      </c>
      <c r="AJ52" s="56" t="str">
        <f>IF(AND('Mapa final'!$Y$43="Muy Baja",'Mapa final'!$AA$43="Catastrófico"),CONCATENATE("R7C",'Mapa final'!$O$43),"")</f>
        <v/>
      </c>
      <c r="AK52" s="56" t="str">
        <f>IF(AND('Mapa final'!$Y$44="Muy Baja",'Mapa final'!$AA$44="Catastrófico"),CONCATENATE("R7C",'Mapa final'!$O$44),"")</f>
        <v/>
      </c>
      <c r="AL52" s="56" t="str">
        <f>IF(AND('Mapa final'!$Y$45="Muy Baja",'Mapa final'!$AA$45="Catastrófico"),CONCATENATE("R7C",'Mapa final'!$O$45),"")</f>
        <v/>
      </c>
      <c r="AM52" s="57" t="str">
        <f>IF(AND('Mapa final'!$Y$46="Muy Baja",'Mapa final'!$AA$46="Catastrófico"),CONCATENATE("R7C",'Mapa final'!$O$46),"")</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305"/>
      <c r="C53" s="305"/>
      <c r="D53" s="306"/>
      <c r="E53" s="346"/>
      <c r="F53" s="347"/>
      <c r="G53" s="347"/>
      <c r="H53" s="347"/>
      <c r="I53" s="348"/>
      <c r="J53" s="77" t="str">
        <f>IF(AND('Mapa final'!$Y$47="Muy Baja",'Mapa final'!$AA$47="Leve"),CONCATENATE("R8C",'Mapa final'!$O$47),"")</f>
        <v/>
      </c>
      <c r="K53" s="78" t="str">
        <f>IF(AND('Mapa final'!$Y$48="Muy Baja",'Mapa final'!$AA$48="Leve"),CONCATENATE("R8C",'Mapa final'!$O$48),"")</f>
        <v/>
      </c>
      <c r="L53" s="78" t="str">
        <f>IF(AND('Mapa final'!$Y$49="Muy Baja",'Mapa final'!$AA$49="Leve"),CONCATENATE("R8C",'Mapa final'!$O$49),"")</f>
        <v/>
      </c>
      <c r="M53" s="78" t="str">
        <f>IF(AND('Mapa final'!$Y$50="Muy Baja",'Mapa final'!$AA$50="Leve"),CONCATENATE("R8C",'Mapa final'!$O$50),"")</f>
        <v/>
      </c>
      <c r="N53" s="78" t="str">
        <f>IF(AND('Mapa final'!$Y$51="Muy Baja",'Mapa final'!$AA$51="Leve"),CONCATENATE("R8C",'Mapa final'!$O$51),"")</f>
        <v/>
      </c>
      <c r="O53" s="79" t="str">
        <f>IF(AND('Mapa final'!$Y$52="Muy Baja",'Mapa final'!$AA$52="Leve"),CONCATENATE("R8C",'Mapa final'!$O$52),"")</f>
        <v/>
      </c>
      <c r="P53" s="77" t="str">
        <f>IF(AND('Mapa final'!$Y$47="Muy Baja",'Mapa final'!$AA$47="Menor"),CONCATENATE("R8C",'Mapa final'!$O$47),"")</f>
        <v/>
      </c>
      <c r="Q53" s="78" t="str">
        <f>IF(AND('Mapa final'!$Y$48="Muy Baja",'Mapa final'!$AA$48="Menor"),CONCATENATE("R8C",'Mapa final'!$O$48),"")</f>
        <v/>
      </c>
      <c r="R53" s="78" t="str">
        <f>IF(AND('Mapa final'!$Y$49="Muy Baja",'Mapa final'!$AA$49="Menor"),CONCATENATE("R8C",'Mapa final'!$O$49),"")</f>
        <v/>
      </c>
      <c r="S53" s="78" t="str">
        <f>IF(AND('Mapa final'!$Y$50="Muy Baja",'Mapa final'!$AA$50="Menor"),CONCATENATE("R8C",'Mapa final'!$O$50),"")</f>
        <v/>
      </c>
      <c r="T53" s="78" t="str">
        <f>IF(AND('Mapa final'!$Y$51="Muy Baja",'Mapa final'!$AA$51="Menor"),CONCATENATE("R8C",'Mapa final'!$O$51),"")</f>
        <v/>
      </c>
      <c r="U53" s="79" t="str">
        <f>IF(AND('Mapa final'!$Y$52="Muy Baja",'Mapa final'!$AA$52="Menor"),CONCATENATE("R8C",'Mapa final'!$O$52),"")</f>
        <v/>
      </c>
      <c r="V53" s="68" t="str">
        <f>IF(AND('Mapa final'!$Y$47="Muy Baja",'Mapa final'!$AA$47="Moderado"),CONCATENATE("R8C",'Mapa final'!$O$47),"")</f>
        <v/>
      </c>
      <c r="W53" s="69" t="str">
        <f>IF(AND('Mapa final'!$Y$48="Muy Baja",'Mapa final'!$AA$48="Moderado"),CONCATENATE("R8C",'Mapa final'!$O$48),"")</f>
        <v/>
      </c>
      <c r="X53" s="69" t="str">
        <f>IF(AND('Mapa final'!$Y$49="Muy Baja",'Mapa final'!$AA$49="Moderado"),CONCATENATE("R8C",'Mapa final'!$O$49),"")</f>
        <v/>
      </c>
      <c r="Y53" s="69" t="str">
        <f>IF(AND('Mapa final'!$Y$50="Muy Baja",'Mapa final'!$AA$50="Moderado"),CONCATENATE("R8C",'Mapa final'!$O$50),"")</f>
        <v/>
      </c>
      <c r="Z53" s="69" t="str">
        <f>IF(AND('Mapa final'!$Y$51="Muy Baja",'Mapa final'!$AA$51="Moderado"),CONCATENATE("R8C",'Mapa final'!$O$51),"")</f>
        <v/>
      </c>
      <c r="AA53" s="70" t="str">
        <f>IF(AND('Mapa final'!$Y$52="Muy Baja",'Mapa final'!$AA$52="Moderado"),CONCATENATE("R8C",'Mapa final'!$O$52),"")</f>
        <v/>
      </c>
      <c r="AB53" s="52" t="str">
        <f>IF(AND('Mapa final'!$Y$47="Muy Baja",'Mapa final'!$AA$47="Mayor"),CONCATENATE("R8C",'Mapa final'!$O$47),"")</f>
        <v/>
      </c>
      <c r="AC53" s="53" t="str">
        <f>IF(AND('Mapa final'!$Y$48="Muy Baja",'Mapa final'!$AA$48="Mayor"),CONCATENATE("R8C",'Mapa final'!$O$48),"")</f>
        <v/>
      </c>
      <c r="AD53" s="58" t="str">
        <f>IF(AND('Mapa final'!$Y$49="Muy Baja",'Mapa final'!$AA$49="Mayor"),CONCATENATE("R8C",'Mapa final'!$O$49),"")</f>
        <v/>
      </c>
      <c r="AE53" s="58" t="str">
        <f>IF(AND('Mapa final'!$Y$50="Muy Baja",'Mapa final'!$AA$50="Mayor"),CONCATENATE("R8C",'Mapa final'!$O$50),"")</f>
        <v/>
      </c>
      <c r="AF53" s="58" t="str">
        <f>IF(AND('Mapa final'!$Y$51="Muy Baja",'Mapa final'!$AA$51="Mayor"),CONCATENATE("R8C",'Mapa final'!$O$51),"")</f>
        <v/>
      </c>
      <c r="AG53" s="54" t="str">
        <f>IF(AND('Mapa final'!$Y$52="Muy Baja",'Mapa final'!$AA$52="Mayor"),CONCATENATE("R8C",'Mapa final'!$O$52),"")</f>
        <v/>
      </c>
      <c r="AH53" s="55" t="str">
        <f>IF(AND('Mapa final'!$Y$47="Muy Baja",'Mapa final'!$AA$47="Catastrófico"),CONCATENATE("R8C",'Mapa final'!$O$47),"")</f>
        <v/>
      </c>
      <c r="AI53" s="56" t="str">
        <f>IF(AND('Mapa final'!$Y$48="Muy Baja",'Mapa final'!$AA$48="Catastrófico"),CONCATENATE("R8C",'Mapa final'!$O$48),"")</f>
        <v/>
      </c>
      <c r="AJ53" s="56" t="str">
        <f>IF(AND('Mapa final'!$Y$49="Muy Baja",'Mapa final'!$AA$49="Catastrófico"),CONCATENATE("R8C",'Mapa final'!$O$49),"")</f>
        <v/>
      </c>
      <c r="AK53" s="56" t="str">
        <f>IF(AND('Mapa final'!$Y$50="Muy Baja",'Mapa final'!$AA$50="Catastrófico"),CONCATENATE("R8C",'Mapa final'!$O$50),"")</f>
        <v/>
      </c>
      <c r="AL53" s="56" t="str">
        <f>IF(AND('Mapa final'!$Y$51="Muy Baja",'Mapa final'!$AA$51="Catastrófico"),CONCATENATE("R8C",'Mapa final'!$O$51),"")</f>
        <v/>
      </c>
      <c r="AM53" s="57" t="str">
        <f>IF(AND('Mapa final'!$Y$52="Muy Baja",'Mapa final'!$AA$52="Catastrófico"),CONCATENATE("R8C",'Mapa final'!$O$52),"")</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305"/>
      <c r="C54" s="305"/>
      <c r="D54" s="306"/>
      <c r="E54" s="346"/>
      <c r="F54" s="347"/>
      <c r="G54" s="347"/>
      <c r="H54" s="347"/>
      <c r="I54" s="348"/>
      <c r="J54" s="77" t="str">
        <f>IF(AND('Mapa final'!$Y$53="Muy Baja",'Mapa final'!$AA$53="Leve"),CONCATENATE("R9C",'Mapa final'!$O$53),"")</f>
        <v/>
      </c>
      <c r="K54" s="78" t="str">
        <f>IF(AND('Mapa final'!$Y$54="Muy Baja",'Mapa final'!$AA$54="Leve"),CONCATENATE("R9C",'Mapa final'!$O$54),"")</f>
        <v/>
      </c>
      <c r="L54" s="78" t="str">
        <f>IF(AND('Mapa final'!$Y$55="Muy Baja",'Mapa final'!$AA$55="Leve"),CONCATENATE("R9C",'Mapa final'!$O$55),"")</f>
        <v/>
      </c>
      <c r="M54" s="78" t="str">
        <f>IF(AND('Mapa final'!$Y$56="Muy Baja",'Mapa final'!$AA$56="Leve"),CONCATENATE("R9C",'Mapa final'!$O$56),"")</f>
        <v/>
      </c>
      <c r="N54" s="78" t="str">
        <f>IF(AND('Mapa final'!$Y$57="Muy Baja",'Mapa final'!$AA$57="Leve"),CONCATENATE("R9C",'Mapa final'!$O$57),"")</f>
        <v/>
      </c>
      <c r="O54" s="79" t="str">
        <f>IF(AND('Mapa final'!$Y$58="Muy Baja",'Mapa final'!$AA$58="Leve"),CONCATENATE("R9C",'Mapa final'!$O$58),"")</f>
        <v/>
      </c>
      <c r="P54" s="77" t="str">
        <f>IF(AND('Mapa final'!$Y$53="Muy Baja",'Mapa final'!$AA$53="Menor"),CONCATENATE("R9C",'Mapa final'!$O$53),"")</f>
        <v/>
      </c>
      <c r="Q54" s="78" t="str">
        <f>IF(AND('Mapa final'!$Y$54="Muy Baja",'Mapa final'!$AA$54="Menor"),CONCATENATE("R9C",'Mapa final'!$O$54),"")</f>
        <v/>
      </c>
      <c r="R54" s="78" t="str">
        <f>IF(AND('Mapa final'!$Y$55="Muy Baja",'Mapa final'!$AA$55="Menor"),CONCATENATE("R9C",'Mapa final'!$O$55),"")</f>
        <v/>
      </c>
      <c r="S54" s="78" t="str">
        <f>IF(AND('Mapa final'!$Y$56="Muy Baja",'Mapa final'!$AA$56="Menor"),CONCATENATE("R9C",'Mapa final'!$O$56),"")</f>
        <v/>
      </c>
      <c r="T54" s="78" t="str">
        <f>IF(AND('Mapa final'!$Y$57="Muy Baja",'Mapa final'!$AA$57="Menor"),CONCATENATE("R9C",'Mapa final'!$O$57),"")</f>
        <v/>
      </c>
      <c r="U54" s="79" t="str">
        <f>IF(AND('Mapa final'!$Y$58="Muy Baja",'Mapa final'!$AA$58="Menor"),CONCATENATE("R9C",'Mapa final'!$O$58),"")</f>
        <v/>
      </c>
      <c r="V54" s="68" t="str">
        <f>IF(AND('Mapa final'!$Y$53="Muy Baja",'Mapa final'!$AA$53="Moderado"),CONCATENATE("R9C",'Mapa final'!$O$53),"")</f>
        <v/>
      </c>
      <c r="W54" s="69" t="str">
        <f>IF(AND('Mapa final'!$Y$54="Muy Baja",'Mapa final'!$AA$54="Moderado"),CONCATENATE("R9C",'Mapa final'!$O$54),"")</f>
        <v/>
      </c>
      <c r="X54" s="69" t="str">
        <f>IF(AND('Mapa final'!$Y$55="Muy Baja",'Mapa final'!$AA$55="Moderado"),CONCATENATE("R9C",'Mapa final'!$O$55),"")</f>
        <v/>
      </c>
      <c r="Y54" s="69" t="str">
        <f>IF(AND('Mapa final'!$Y$56="Muy Baja",'Mapa final'!$AA$56="Moderado"),CONCATENATE("R9C",'Mapa final'!$O$56),"")</f>
        <v/>
      </c>
      <c r="Z54" s="69" t="str">
        <f>IF(AND('Mapa final'!$Y$57="Muy Baja",'Mapa final'!$AA$57="Moderado"),CONCATENATE("R9C",'Mapa final'!$O$57),"")</f>
        <v/>
      </c>
      <c r="AA54" s="70" t="str">
        <f>IF(AND('Mapa final'!$Y$58="Muy Baja",'Mapa final'!$AA$58="Moderado"),CONCATENATE("R9C",'Mapa final'!$O$58),"")</f>
        <v/>
      </c>
      <c r="AB54" s="52" t="str">
        <f>IF(AND('Mapa final'!$Y$53="Muy Baja",'Mapa final'!$AA$53="Mayor"),CONCATENATE("R9C",'Mapa final'!$O$53),"")</f>
        <v/>
      </c>
      <c r="AC54" s="53" t="str">
        <f>IF(AND('Mapa final'!$Y$54="Muy Baja",'Mapa final'!$AA$54="Mayor"),CONCATENATE("R9C",'Mapa final'!$O$54),"")</f>
        <v/>
      </c>
      <c r="AD54" s="58" t="str">
        <f>IF(AND('Mapa final'!$Y$55="Muy Baja",'Mapa final'!$AA$55="Mayor"),CONCATENATE("R9C",'Mapa final'!$O$55),"")</f>
        <v/>
      </c>
      <c r="AE54" s="58" t="str">
        <f>IF(AND('Mapa final'!$Y$56="Muy Baja",'Mapa final'!$AA$56="Mayor"),CONCATENATE("R9C",'Mapa final'!$O$56),"")</f>
        <v/>
      </c>
      <c r="AF54" s="58" t="str">
        <f>IF(AND('Mapa final'!$Y$57="Muy Baja",'Mapa final'!$AA$57="Mayor"),CONCATENATE("R9C",'Mapa final'!$O$57),"")</f>
        <v/>
      </c>
      <c r="AG54" s="54" t="str">
        <f>IF(AND('Mapa final'!$Y$58="Muy Baja",'Mapa final'!$AA$58="Mayor"),CONCATENATE("R9C",'Mapa final'!$O$58),"")</f>
        <v/>
      </c>
      <c r="AH54" s="55" t="str">
        <f>IF(AND('Mapa final'!$Y$53="Muy Baja",'Mapa final'!$AA$53="Catastrófico"),CONCATENATE("R9C",'Mapa final'!$O$53),"")</f>
        <v/>
      </c>
      <c r="AI54" s="56" t="str">
        <f>IF(AND('Mapa final'!$Y$54="Muy Baja",'Mapa final'!$AA$54="Catastrófico"),CONCATENATE("R9C",'Mapa final'!$O$54),"")</f>
        <v/>
      </c>
      <c r="AJ54" s="56" t="str">
        <f>IF(AND('Mapa final'!$Y$55="Muy Baja",'Mapa final'!$AA$55="Catastrófico"),CONCATENATE("R9C",'Mapa final'!$O$55),"")</f>
        <v/>
      </c>
      <c r="AK54" s="56" t="str">
        <f>IF(AND('Mapa final'!$Y$56="Muy Baja",'Mapa final'!$AA$56="Catastrófico"),CONCATENATE("R9C",'Mapa final'!$O$56),"")</f>
        <v/>
      </c>
      <c r="AL54" s="56" t="str">
        <f>IF(AND('Mapa final'!$Y$57="Muy Baja",'Mapa final'!$AA$57="Catastrófico"),CONCATENATE("R9C",'Mapa final'!$O$57),"")</f>
        <v/>
      </c>
      <c r="AM54" s="57" t="str">
        <f>IF(AND('Mapa final'!$Y$58="Muy Baja",'Mapa final'!$AA$58="Catastrófico"),CONCATENATE("R9C",'Mapa final'!$O$58),"")</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305"/>
      <c r="C55" s="305"/>
      <c r="D55" s="306"/>
      <c r="E55" s="349"/>
      <c r="F55" s="350"/>
      <c r="G55" s="350"/>
      <c r="H55" s="350"/>
      <c r="I55" s="351"/>
      <c r="J55" s="80" t="str">
        <f>IF(AND('Mapa final'!$Y$59="Muy Baja",'Mapa final'!$AA$59="Leve"),CONCATENATE("R10C",'Mapa final'!$O$59),"")</f>
        <v/>
      </c>
      <c r="K55" s="81" t="str">
        <f>IF(AND('Mapa final'!$Y$60="Muy Baja",'Mapa final'!$AA$60="Leve"),CONCATENATE("R10C",'Mapa final'!$O$60),"")</f>
        <v/>
      </c>
      <c r="L55" s="81" t="str">
        <f>IF(AND('Mapa final'!$Y$61="Muy Baja",'Mapa final'!$AA$61="Leve"),CONCATENATE("R10C",'Mapa final'!$O$61),"")</f>
        <v/>
      </c>
      <c r="M55" s="81" t="str">
        <f>IF(AND('Mapa final'!$Y$62="Muy Baja",'Mapa final'!$AA$62="Leve"),CONCATENATE("R10C",'Mapa final'!$O$62),"")</f>
        <v/>
      </c>
      <c r="N55" s="81" t="str">
        <f>IF(AND('Mapa final'!$Y$63="Muy Baja",'Mapa final'!$AA$63="Leve"),CONCATENATE("R10C",'Mapa final'!$O$63),"")</f>
        <v/>
      </c>
      <c r="O55" s="82" t="str">
        <f>IF(AND('Mapa final'!$Y$64="Muy Baja",'Mapa final'!$AA$64="Leve"),CONCATENATE("R10C",'Mapa final'!$O$64),"")</f>
        <v/>
      </c>
      <c r="P55" s="80" t="str">
        <f>IF(AND('Mapa final'!$Y$59="Muy Baja",'Mapa final'!$AA$59="Menor"),CONCATENATE("R10C",'Mapa final'!$O$59),"")</f>
        <v/>
      </c>
      <c r="Q55" s="81" t="str">
        <f>IF(AND('Mapa final'!$Y$60="Muy Baja",'Mapa final'!$AA$60="Menor"),CONCATENATE("R10C",'Mapa final'!$O$60),"")</f>
        <v/>
      </c>
      <c r="R55" s="81" t="str">
        <f>IF(AND('Mapa final'!$Y$61="Muy Baja",'Mapa final'!$AA$61="Menor"),CONCATENATE("R10C",'Mapa final'!$O$61),"")</f>
        <v/>
      </c>
      <c r="S55" s="81" t="str">
        <f>IF(AND('Mapa final'!$Y$62="Muy Baja",'Mapa final'!$AA$62="Menor"),CONCATENATE("R10C",'Mapa final'!$O$62),"")</f>
        <v/>
      </c>
      <c r="T55" s="81" t="str">
        <f>IF(AND('Mapa final'!$Y$63="Muy Baja",'Mapa final'!$AA$63="Menor"),CONCATENATE("R10C",'Mapa final'!$O$63),"")</f>
        <v/>
      </c>
      <c r="U55" s="82" t="str">
        <f>IF(AND('Mapa final'!$Y$64="Muy Baja",'Mapa final'!$AA$64="Menor"),CONCATENATE("R10C",'Mapa final'!$O$64),"")</f>
        <v/>
      </c>
      <c r="V55" s="71" t="str">
        <f>IF(AND('Mapa final'!$Y$59="Muy Baja",'Mapa final'!$AA$59="Moderado"),CONCATENATE("R10C",'Mapa final'!$O$59),"")</f>
        <v/>
      </c>
      <c r="W55" s="72" t="str">
        <f>IF(AND('Mapa final'!$Y$60="Muy Baja",'Mapa final'!$AA$60="Moderado"),CONCATENATE("R10C",'Mapa final'!$O$60),"")</f>
        <v/>
      </c>
      <c r="X55" s="72" t="str">
        <f>IF(AND('Mapa final'!$Y$61="Muy Baja",'Mapa final'!$AA$61="Moderado"),CONCATENATE("R10C",'Mapa final'!$O$61),"")</f>
        <v/>
      </c>
      <c r="Y55" s="72" t="str">
        <f>IF(AND('Mapa final'!$Y$62="Muy Baja",'Mapa final'!$AA$62="Moderado"),CONCATENATE("R10C",'Mapa final'!$O$62),"")</f>
        <v/>
      </c>
      <c r="Z55" s="72" t="str">
        <f>IF(AND('Mapa final'!$Y$63="Muy Baja",'Mapa final'!$AA$63="Moderado"),CONCATENATE("R10C",'Mapa final'!$O$63),"")</f>
        <v/>
      </c>
      <c r="AA55" s="73" t="str">
        <f>IF(AND('Mapa final'!$Y$64="Muy Baja",'Mapa final'!$AA$64="Moderado"),CONCATENATE("R10C",'Mapa final'!$O$64),"")</f>
        <v/>
      </c>
      <c r="AB55" s="59" t="str">
        <f>IF(AND('Mapa final'!$Y$59="Muy Baja",'Mapa final'!$AA$59="Mayor"),CONCATENATE("R10C",'Mapa final'!$O$59),"")</f>
        <v/>
      </c>
      <c r="AC55" s="60" t="str">
        <f>IF(AND('Mapa final'!$Y$60="Muy Baja",'Mapa final'!$AA$60="Mayor"),CONCATENATE("R10C",'Mapa final'!$O$60),"")</f>
        <v/>
      </c>
      <c r="AD55" s="60" t="str">
        <f>IF(AND('Mapa final'!$Y$61="Muy Baja",'Mapa final'!$AA$61="Mayor"),CONCATENATE("R10C",'Mapa final'!$O$61),"")</f>
        <v/>
      </c>
      <c r="AE55" s="60" t="str">
        <f>IF(AND('Mapa final'!$Y$62="Muy Baja",'Mapa final'!$AA$62="Mayor"),CONCATENATE("R10C",'Mapa final'!$O$62),"")</f>
        <v/>
      </c>
      <c r="AF55" s="60" t="str">
        <f>IF(AND('Mapa final'!$Y$63="Muy Baja",'Mapa final'!$AA$63="Mayor"),CONCATENATE("R10C",'Mapa final'!$O$63),"")</f>
        <v/>
      </c>
      <c r="AG55" s="61" t="str">
        <f>IF(AND('Mapa final'!$Y$64="Muy Baja",'Mapa final'!$AA$64="Mayor"),CONCATENATE("R10C",'Mapa final'!$O$64),"")</f>
        <v/>
      </c>
      <c r="AH55" s="62" t="str">
        <f>IF(AND('Mapa final'!$Y$59="Muy Baja",'Mapa final'!$AA$59="Catastrófico"),CONCATENATE("R10C",'Mapa final'!$O$59),"")</f>
        <v/>
      </c>
      <c r="AI55" s="63" t="str">
        <f>IF(AND('Mapa final'!$Y$60="Muy Baja",'Mapa final'!$AA$60="Catastrófico"),CONCATENATE("R10C",'Mapa final'!$O$60),"")</f>
        <v/>
      </c>
      <c r="AJ55" s="63" t="str">
        <f>IF(AND('Mapa final'!$Y$61="Muy Baja",'Mapa final'!$AA$61="Catastrófico"),CONCATENATE("R10C",'Mapa final'!$O$61),"")</f>
        <v/>
      </c>
      <c r="AK55" s="63" t="str">
        <f>IF(AND('Mapa final'!$Y$62="Muy Baja",'Mapa final'!$AA$62="Catastrófico"),CONCATENATE("R10C",'Mapa final'!$O$62),"")</f>
        <v/>
      </c>
      <c r="AL55" s="63" t="str">
        <f>IF(AND('Mapa final'!$Y$63="Muy Baja",'Mapa final'!$AA$63="Catastrófico"),CONCATENATE("R10C",'Mapa final'!$O$63),"")</f>
        <v/>
      </c>
      <c r="AM55" s="64" t="str">
        <f>IF(AND('Mapa final'!$Y$64="Muy Baja",'Mapa final'!$AA$64="Catastrófico"),CONCATENATE("R10C",'Mapa final'!$O$64),"")</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3" t="s">
        <v>112</v>
      </c>
      <c r="K56" s="344"/>
      <c r="L56" s="344"/>
      <c r="M56" s="344"/>
      <c r="N56" s="344"/>
      <c r="O56" s="345"/>
      <c r="P56" s="343" t="s">
        <v>111</v>
      </c>
      <c r="Q56" s="344"/>
      <c r="R56" s="344"/>
      <c r="S56" s="344"/>
      <c r="T56" s="344"/>
      <c r="U56" s="345"/>
      <c r="V56" s="343" t="s">
        <v>110</v>
      </c>
      <c r="W56" s="344"/>
      <c r="X56" s="344"/>
      <c r="Y56" s="344"/>
      <c r="Z56" s="344"/>
      <c r="AA56" s="345"/>
      <c r="AB56" s="343" t="s">
        <v>109</v>
      </c>
      <c r="AC56" s="352"/>
      <c r="AD56" s="344"/>
      <c r="AE56" s="344"/>
      <c r="AF56" s="344"/>
      <c r="AG56" s="345"/>
      <c r="AH56" s="343" t="s">
        <v>108</v>
      </c>
      <c r="AI56" s="344"/>
      <c r="AJ56" s="344"/>
      <c r="AK56" s="344"/>
      <c r="AL56" s="344"/>
      <c r="AM56" s="34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46"/>
      <c r="K57" s="347"/>
      <c r="L57" s="347"/>
      <c r="M57" s="347"/>
      <c r="N57" s="347"/>
      <c r="O57" s="348"/>
      <c r="P57" s="346"/>
      <c r="Q57" s="347"/>
      <c r="R57" s="347"/>
      <c r="S57" s="347"/>
      <c r="T57" s="347"/>
      <c r="U57" s="348"/>
      <c r="V57" s="346"/>
      <c r="W57" s="347"/>
      <c r="X57" s="347"/>
      <c r="Y57" s="347"/>
      <c r="Z57" s="347"/>
      <c r="AA57" s="348"/>
      <c r="AB57" s="346"/>
      <c r="AC57" s="347"/>
      <c r="AD57" s="347"/>
      <c r="AE57" s="347"/>
      <c r="AF57" s="347"/>
      <c r="AG57" s="348"/>
      <c r="AH57" s="346"/>
      <c r="AI57" s="347"/>
      <c r="AJ57" s="347"/>
      <c r="AK57" s="347"/>
      <c r="AL57" s="347"/>
      <c r="AM57" s="348"/>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46"/>
      <c r="K58" s="347"/>
      <c r="L58" s="347"/>
      <c r="M58" s="347"/>
      <c r="N58" s="347"/>
      <c r="O58" s="348"/>
      <c r="P58" s="346"/>
      <c r="Q58" s="347"/>
      <c r="R58" s="347"/>
      <c r="S58" s="347"/>
      <c r="T58" s="347"/>
      <c r="U58" s="348"/>
      <c r="V58" s="346"/>
      <c r="W58" s="347"/>
      <c r="X58" s="347"/>
      <c r="Y58" s="347"/>
      <c r="Z58" s="347"/>
      <c r="AA58" s="348"/>
      <c r="AB58" s="346"/>
      <c r="AC58" s="347"/>
      <c r="AD58" s="347"/>
      <c r="AE58" s="347"/>
      <c r="AF58" s="347"/>
      <c r="AG58" s="348"/>
      <c r="AH58" s="346"/>
      <c r="AI58" s="347"/>
      <c r="AJ58" s="347"/>
      <c r="AK58" s="347"/>
      <c r="AL58" s="347"/>
      <c r="AM58" s="348"/>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46"/>
      <c r="K59" s="347"/>
      <c r="L59" s="347"/>
      <c r="M59" s="347"/>
      <c r="N59" s="347"/>
      <c r="O59" s="348"/>
      <c r="P59" s="346"/>
      <c r="Q59" s="347"/>
      <c r="R59" s="347"/>
      <c r="S59" s="347"/>
      <c r="T59" s="347"/>
      <c r="U59" s="348"/>
      <c r="V59" s="346"/>
      <c r="W59" s="347"/>
      <c r="X59" s="347"/>
      <c r="Y59" s="347"/>
      <c r="Z59" s="347"/>
      <c r="AA59" s="348"/>
      <c r="AB59" s="346"/>
      <c r="AC59" s="347"/>
      <c r="AD59" s="347"/>
      <c r="AE59" s="347"/>
      <c r="AF59" s="347"/>
      <c r="AG59" s="348"/>
      <c r="AH59" s="346"/>
      <c r="AI59" s="347"/>
      <c r="AJ59" s="347"/>
      <c r="AK59" s="347"/>
      <c r="AL59" s="347"/>
      <c r="AM59" s="348"/>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46"/>
      <c r="K60" s="347"/>
      <c r="L60" s="347"/>
      <c r="M60" s="347"/>
      <c r="N60" s="347"/>
      <c r="O60" s="348"/>
      <c r="P60" s="346"/>
      <c r="Q60" s="347"/>
      <c r="R60" s="347"/>
      <c r="S60" s="347"/>
      <c r="T60" s="347"/>
      <c r="U60" s="348"/>
      <c r="V60" s="346"/>
      <c r="W60" s="347"/>
      <c r="X60" s="347"/>
      <c r="Y60" s="347"/>
      <c r="Z60" s="347"/>
      <c r="AA60" s="348"/>
      <c r="AB60" s="346"/>
      <c r="AC60" s="347"/>
      <c r="AD60" s="347"/>
      <c r="AE60" s="347"/>
      <c r="AF60" s="347"/>
      <c r="AG60" s="348"/>
      <c r="AH60" s="346"/>
      <c r="AI60" s="347"/>
      <c r="AJ60" s="347"/>
      <c r="AK60" s="347"/>
      <c r="AL60" s="347"/>
      <c r="AM60" s="348"/>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49"/>
      <c r="K61" s="350"/>
      <c r="L61" s="350"/>
      <c r="M61" s="350"/>
      <c r="N61" s="350"/>
      <c r="O61" s="351"/>
      <c r="P61" s="349"/>
      <c r="Q61" s="350"/>
      <c r="R61" s="350"/>
      <c r="S61" s="350"/>
      <c r="T61" s="350"/>
      <c r="U61" s="351"/>
      <c r="V61" s="349"/>
      <c r="W61" s="350"/>
      <c r="X61" s="350"/>
      <c r="Y61" s="350"/>
      <c r="Z61" s="350"/>
      <c r="AA61" s="351"/>
      <c r="AB61" s="349"/>
      <c r="AC61" s="350"/>
      <c r="AD61" s="350"/>
      <c r="AE61" s="350"/>
      <c r="AF61" s="350"/>
      <c r="AG61" s="351"/>
      <c r="AH61" s="349"/>
      <c r="AI61" s="350"/>
      <c r="AJ61" s="350"/>
      <c r="AK61" s="350"/>
      <c r="AL61" s="350"/>
      <c r="AM61" s="351"/>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topLeftCell="A7"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93" t="s">
        <v>55</v>
      </c>
      <c r="C1" s="393"/>
      <c r="D1" s="393"/>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94" t="s">
        <v>63</v>
      </c>
      <c r="C1" s="394"/>
      <c r="D1" s="394"/>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95" t="s">
        <v>78</v>
      </c>
      <c r="C1" s="396"/>
      <c r="D1" s="396"/>
      <c r="E1" s="396"/>
      <c r="F1" s="397"/>
    </row>
    <row r="2" spans="2:6" ht="16.3" thickBot="1" x14ac:dyDescent="0.5">
      <c r="B2" s="90"/>
      <c r="C2" s="90"/>
      <c r="D2" s="90"/>
      <c r="E2" s="90"/>
      <c r="F2" s="90"/>
    </row>
    <row r="3" spans="2:6" ht="15.9" thickBot="1" x14ac:dyDescent="0.4">
      <c r="B3" s="399" t="s">
        <v>64</v>
      </c>
      <c r="C3" s="400"/>
      <c r="D3" s="400"/>
      <c r="E3" s="102" t="s">
        <v>65</v>
      </c>
      <c r="F3" s="103" t="s">
        <v>66</v>
      </c>
    </row>
    <row r="4" spans="2:6" ht="30.9" x14ac:dyDescent="0.35">
      <c r="B4" s="401" t="s">
        <v>67</v>
      </c>
      <c r="C4" s="403" t="s">
        <v>13</v>
      </c>
      <c r="D4" s="91" t="s">
        <v>14</v>
      </c>
      <c r="E4" s="92" t="s">
        <v>68</v>
      </c>
      <c r="F4" s="93">
        <v>0.25</v>
      </c>
    </row>
    <row r="5" spans="2:6" ht="46.3" x14ac:dyDescent="0.35">
      <c r="B5" s="402"/>
      <c r="C5" s="404"/>
      <c r="D5" s="94" t="s">
        <v>15</v>
      </c>
      <c r="E5" s="95" t="s">
        <v>69</v>
      </c>
      <c r="F5" s="96">
        <v>0.15</v>
      </c>
    </row>
    <row r="6" spans="2:6" ht="46.3" x14ac:dyDescent="0.35">
      <c r="B6" s="402"/>
      <c r="C6" s="404"/>
      <c r="D6" s="94" t="s">
        <v>16</v>
      </c>
      <c r="E6" s="95" t="s">
        <v>70</v>
      </c>
      <c r="F6" s="96">
        <v>0.1</v>
      </c>
    </row>
    <row r="7" spans="2:6" ht="61.75" x14ac:dyDescent="0.35">
      <c r="B7" s="402"/>
      <c r="C7" s="404" t="s">
        <v>17</v>
      </c>
      <c r="D7" s="94" t="s">
        <v>10</v>
      </c>
      <c r="E7" s="95" t="s">
        <v>71</v>
      </c>
      <c r="F7" s="96">
        <v>0.25</v>
      </c>
    </row>
    <row r="8" spans="2:6" ht="30.9" x14ac:dyDescent="0.35">
      <c r="B8" s="402"/>
      <c r="C8" s="404"/>
      <c r="D8" s="94" t="s">
        <v>9</v>
      </c>
      <c r="E8" s="95" t="s">
        <v>72</v>
      </c>
      <c r="F8" s="96">
        <v>0.15</v>
      </c>
    </row>
    <row r="9" spans="2:6" ht="46.3" x14ac:dyDescent="0.35">
      <c r="B9" s="402" t="s">
        <v>162</v>
      </c>
      <c r="C9" s="404" t="s">
        <v>18</v>
      </c>
      <c r="D9" s="94" t="s">
        <v>19</v>
      </c>
      <c r="E9" s="95" t="s">
        <v>73</v>
      </c>
      <c r="F9" s="97" t="s">
        <v>74</v>
      </c>
    </row>
    <row r="10" spans="2:6" ht="46.3" x14ac:dyDescent="0.35">
      <c r="B10" s="402"/>
      <c r="C10" s="404"/>
      <c r="D10" s="94" t="s">
        <v>20</v>
      </c>
      <c r="E10" s="95" t="s">
        <v>75</v>
      </c>
      <c r="F10" s="97" t="s">
        <v>74</v>
      </c>
    </row>
    <row r="11" spans="2:6" ht="30.9" x14ac:dyDescent="0.35">
      <c r="B11" s="402"/>
      <c r="C11" s="404" t="s">
        <v>21</v>
      </c>
      <c r="D11" s="94" t="s">
        <v>22</v>
      </c>
      <c r="E11" s="95" t="s">
        <v>76</v>
      </c>
      <c r="F11" s="97" t="s">
        <v>74</v>
      </c>
    </row>
    <row r="12" spans="2:6" ht="46.3" x14ac:dyDescent="0.35">
      <c r="B12" s="402"/>
      <c r="C12" s="404"/>
      <c r="D12" s="94" t="s">
        <v>23</v>
      </c>
      <c r="E12" s="95" t="s">
        <v>77</v>
      </c>
      <c r="F12" s="97" t="s">
        <v>74</v>
      </c>
    </row>
    <row r="13" spans="2:6" ht="30.9" x14ac:dyDescent="0.35">
      <c r="B13" s="402"/>
      <c r="C13" s="404" t="s">
        <v>24</v>
      </c>
      <c r="D13" s="94" t="s">
        <v>119</v>
      </c>
      <c r="E13" s="95" t="s">
        <v>122</v>
      </c>
      <c r="F13" s="97" t="s">
        <v>74</v>
      </c>
    </row>
    <row r="14" spans="2:6" ht="15.9" thickBot="1" x14ac:dyDescent="0.4">
      <c r="B14" s="405"/>
      <c r="C14" s="406"/>
      <c r="D14" s="98" t="s">
        <v>120</v>
      </c>
      <c r="E14" s="99" t="s">
        <v>121</v>
      </c>
      <c r="F14" s="100" t="s">
        <v>74</v>
      </c>
    </row>
    <row r="15" spans="2:6" ht="49.5" customHeight="1" x14ac:dyDescent="0.35">
      <c r="B15" s="398" t="s">
        <v>159</v>
      </c>
      <c r="C15" s="398"/>
      <c r="D15" s="398"/>
      <c r="E15" s="398"/>
      <c r="F15" s="398"/>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Liliana Lamprea A</cp:lastModifiedBy>
  <cp:lastPrinted>2020-05-13T01:12:22Z</cp:lastPrinted>
  <dcterms:created xsi:type="dcterms:W3CDTF">2020-03-24T23:12:47Z</dcterms:created>
  <dcterms:modified xsi:type="dcterms:W3CDTF">2022-10-25T15:38:46Z</dcterms:modified>
</cp:coreProperties>
</file>