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lilam\Documents\01 Proyectos\04 EDAT\03 Documentos\01 SIG\01 Procesos\01 Estratégicos\GTC\Documentos\"/>
    </mc:Choice>
  </mc:AlternateContent>
  <xr:revisionPtr revIDLastSave="0" documentId="8_{2FFAD8B3-6D2C-4248-BA8D-C4CA5C08307A}" xr6:coauthVersionLast="47" xr6:coauthVersionMax="47" xr10:uidLastSave="{00000000-0000-0000-0000-000000000000}"/>
  <bookViews>
    <workbookView xWindow="-110" yWindow="-110" windowWidth="19420" windowHeight="1030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final'!$A$1:$AK$37</definedName>
  </definedNames>
  <calcPr calcId="191029"/>
  <pivotCaches>
    <pivotCache cacheId="0" r:id="rId10"/>
  </pivotCaches>
</workbook>
</file>

<file path=xl/calcChain.xml><?xml version="1.0" encoding="utf-8"?>
<calcChain xmlns="http://schemas.openxmlformats.org/spreadsheetml/2006/main">
  <c r="I15" i="1" l="1"/>
  <c r="I10" i="1" l="1"/>
  <c r="T10" i="1" l="1"/>
  <c r="Q10" i="1"/>
  <c r="K24" i="1"/>
  <c r="K25" i="1"/>
  <c r="K28" i="1"/>
  <c r="K31" i="1"/>
  <c r="K19" i="1"/>
  <c r="K33" i="1"/>
  <c r="K26" i="1"/>
  <c r="K21" i="1"/>
  <c r="K30" i="1"/>
  <c r="K32" i="1"/>
  <c r="K18" i="1"/>
  <c r="K22" i="1"/>
  <c r="K20" i="1"/>
  <c r="K27" i="1"/>
  <c r="K34" i="1"/>
  <c r="F221" i="13" l="1"/>
  <c r="F211" i="13"/>
  <c r="F212" i="13"/>
  <c r="F213" i="13"/>
  <c r="F214" i="13"/>
  <c r="F215" i="13"/>
  <c r="F216" i="13"/>
  <c r="F217" i="13"/>
  <c r="F218" i="13"/>
  <c r="F219" i="13"/>
  <c r="F220" i="13"/>
  <c r="F210" i="13"/>
  <c r="B221" i="13" a="1"/>
  <c r="B221" i="13" l="1"/>
  <c r="Q1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4" i="1" l="1"/>
  <c r="Q34" i="1"/>
  <c r="T33" i="1"/>
  <c r="Q33" i="1"/>
  <c r="T32" i="1"/>
  <c r="Q32" i="1"/>
  <c r="T31" i="1"/>
  <c r="Q31" i="1"/>
  <c r="T30" i="1"/>
  <c r="Q30" i="1"/>
  <c r="T29" i="1"/>
  <c r="Q29" i="1"/>
  <c r="AB30" i="1" s="1"/>
  <c r="H29" i="1"/>
  <c r="I29" i="1" s="1"/>
  <c r="T28" i="1"/>
  <c r="Q28" i="1"/>
  <c r="T27" i="1"/>
  <c r="Q27" i="1"/>
  <c r="T26" i="1"/>
  <c r="Q26" i="1"/>
  <c r="T25" i="1"/>
  <c r="Q25" i="1"/>
  <c r="T24" i="1"/>
  <c r="Q24" i="1"/>
  <c r="T23" i="1"/>
  <c r="Q23" i="1"/>
  <c r="H23" i="1"/>
  <c r="I23" i="1" s="1"/>
  <c r="T22" i="1"/>
  <c r="Q22" i="1"/>
  <c r="T21" i="1"/>
  <c r="Q21" i="1"/>
  <c r="T20" i="1"/>
  <c r="Q20" i="1"/>
  <c r="T19" i="1"/>
  <c r="Q19" i="1"/>
  <c r="T18" i="1"/>
  <c r="Q18" i="1"/>
  <c r="AB18" i="1" s="1"/>
  <c r="T17" i="1"/>
  <c r="H17" i="1"/>
  <c r="I17" i="1" s="1"/>
  <c r="T16" i="1"/>
  <c r="Q16" i="1"/>
  <c r="I16" i="1"/>
  <c r="T15" i="1"/>
  <c r="Q15" i="1"/>
  <c r="T14" i="1"/>
  <c r="Q14" i="1"/>
  <c r="I14" i="1"/>
  <c r="T13" i="1"/>
  <c r="Q13" i="1"/>
  <c r="T12" i="1"/>
  <c r="Q12" i="1"/>
  <c r="I12" i="1"/>
  <c r="T11" i="1"/>
  <c r="Q11" i="1"/>
  <c r="AB24" i="1" l="1"/>
  <c r="I11" i="1"/>
  <c r="X11" i="1" s="1"/>
  <c r="X29" i="1"/>
  <c r="X23" i="1"/>
  <c r="X17" i="1"/>
  <c r="X16" i="1"/>
  <c r="X15" i="1"/>
  <c r="X14" i="1"/>
  <c r="X13" i="1"/>
  <c r="X12" i="1"/>
  <c r="Y29" i="1" l="1"/>
  <c r="Z29" i="1"/>
  <c r="X30" i="1" s="1"/>
  <c r="Y30" i="1" s="1"/>
  <c r="Y23" i="1"/>
  <c r="Z23" i="1"/>
  <c r="X24" i="1" s="1"/>
  <c r="Z24" i="1" s="1"/>
  <c r="X25" i="1" s="1"/>
  <c r="Y17" i="1"/>
  <c r="Z17" i="1"/>
  <c r="X18" i="1" s="1"/>
  <c r="Z18" i="1" s="1"/>
  <c r="X19" i="1" s="1"/>
  <c r="Y16" i="1"/>
  <c r="Z16" i="1"/>
  <c r="Y15" i="1"/>
  <c r="Z15" i="1"/>
  <c r="Y14" i="1"/>
  <c r="Z14" i="1"/>
  <c r="Y13" i="1"/>
  <c r="Z13" i="1"/>
  <c r="Y12" i="1"/>
  <c r="Z12" i="1"/>
  <c r="Y11" i="1"/>
  <c r="Z11" i="1"/>
  <c r="Y24" i="1" l="1"/>
  <c r="Y18" i="1"/>
  <c r="Z25" i="1"/>
  <c r="X26" i="1" s="1"/>
  <c r="Y25" i="1"/>
  <c r="Z19" i="1"/>
  <c r="X20" i="1" s="1"/>
  <c r="Y19" i="1"/>
  <c r="Z30" i="1"/>
  <c r="X31"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Y26" i="1" l="1"/>
  <c r="Z26" i="1"/>
  <c r="Y20" i="1"/>
  <c r="Z20" i="1"/>
  <c r="X21" i="1" s="1"/>
  <c r="Y31" i="1"/>
  <c r="Z31" i="1"/>
  <c r="X32" i="1" s="1"/>
  <c r="Y21" i="1" l="1"/>
  <c r="Z21" i="1"/>
  <c r="X22" i="1" s="1"/>
  <c r="X27" i="1"/>
  <c r="X28" i="1"/>
  <c r="Z32" i="1"/>
  <c r="Y32" i="1"/>
  <c r="Y28" i="1" l="1"/>
  <c r="Z28" i="1"/>
  <c r="Y27" i="1"/>
  <c r="Z27" i="1"/>
  <c r="Y22" i="1"/>
  <c r="Z22" i="1"/>
  <c r="X33" i="1"/>
  <c r="X34" i="1"/>
  <c r="X10" i="1"/>
  <c r="Y10" i="1" s="1"/>
  <c r="Y34" i="1" l="1"/>
  <c r="Z34" i="1"/>
  <c r="Y33" i="1"/>
  <c r="Z33" i="1"/>
  <c r="Z10" i="1" l="1"/>
  <c r="AB31" i="1" l="1"/>
  <c r="AB23" i="1"/>
  <c r="AB17" i="1"/>
  <c r="AA17" i="1" s="1"/>
  <c r="AC17"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23" i="1"/>
  <c r="AA30" i="1"/>
  <c r="AA31" i="1"/>
  <c r="AB32" i="1"/>
  <c r="AA18" i="1"/>
  <c r="AB19" i="1"/>
  <c r="AA24" i="1"/>
  <c r="AB2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32" i="1"/>
  <c r="AB33" i="1"/>
  <c r="K35" i="19"/>
  <c r="AC25" i="19"/>
  <c r="K45" i="19"/>
  <c r="AI45" i="19"/>
  <c r="W45" i="19"/>
  <c r="Q35" i="19"/>
  <c r="K55" i="19"/>
  <c r="AC15" i="19"/>
  <c r="Q15" i="19"/>
  <c r="AC35" i="19"/>
  <c r="AI35" i="19"/>
  <c r="Q55" i="19"/>
  <c r="AI25" i="19"/>
  <c r="AC3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2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2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19" i="1"/>
  <c r="AB20"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25" i="1"/>
  <c r="AB2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18"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20" i="1"/>
  <c r="AB21" i="1"/>
  <c r="AA33" i="1"/>
  <c r="AB34" i="1"/>
  <c r="AA3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19" i="1"/>
  <c r="X23" i="19"/>
  <c r="R33" i="19"/>
  <c r="R43" i="19"/>
  <c r="AD53" i="19"/>
  <c r="AJ13" i="19"/>
  <c r="R23" i="19"/>
  <c r="R13" i="19"/>
  <c r="AJ53" i="19"/>
  <c r="L33" i="19"/>
  <c r="L23" i="19"/>
  <c r="X43" i="19"/>
  <c r="X53" i="19"/>
  <c r="AD13" i="19"/>
  <c r="L53" i="19"/>
  <c r="L13" i="19"/>
  <c r="AD23" i="19"/>
  <c r="AJ33" i="19"/>
  <c r="AJ23" i="19"/>
  <c r="R53" i="19"/>
  <c r="M55" i="19"/>
  <c r="AK15" i="19"/>
  <c r="AE25" i="19"/>
  <c r="AC3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26" i="1"/>
  <c r="AB27"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2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2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3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3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1" i="1"/>
  <c r="AB22" i="1"/>
  <c r="AA2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27" i="1"/>
  <c r="AB28" i="1"/>
  <c r="AA2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2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28" i="1"/>
  <c r="AA14" i="19"/>
  <c r="O54" i="19"/>
  <c r="U44" i="19"/>
  <c r="U43" i="19"/>
  <c r="U13" i="19"/>
  <c r="AM53" i="19"/>
  <c r="AA53" i="19"/>
  <c r="AA43" i="19"/>
  <c r="O53" i="19"/>
  <c r="O23" i="19"/>
  <c r="O13" i="19"/>
  <c r="AG43" i="19"/>
  <c r="U33" i="19"/>
  <c r="U23" i="19"/>
  <c r="AM13" i="19"/>
  <c r="AM23" i="19"/>
  <c r="AG13" i="19"/>
  <c r="AA23" i="19"/>
  <c r="AG33" i="19"/>
  <c r="AA33" i="19"/>
  <c r="AM33" i="19"/>
  <c r="AA13" i="19"/>
  <c r="AC2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27" i="1"/>
  <c r="AF53" i="19"/>
  <c r="T43" i="19"/>
  <c r="Z53" i="19"/>
  <c r="N43" i="19"/>
  <c r="T23" i="19"/>
  <c r="AF43" i="19"/>
  <c r="Z13" i="19"/>
  <c r="Z43" i="19"/>
  <c r="AF23" i="19"/>
  <c r="AL13" i="19"/>
  <c r="Z23" i="19"/>
  <c r="AL43" i="19"/>
  <c r="AF13" i="19"/>
  <c r="AL23" i="19"/>
  <c r="N13" i="19"/>
  <c r="T33" i="19"/>
  <c r="AL53" i="19"/>
  <c r="N23" i="19"/>
  <c r="N53" i="19"/>
  <c r="AF33" i="19"/>
  <c r="N33" i="19"/>
  <c r="AC2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4" i="1"/>
  <c r="L32" i="18"/>
  <c r="X8" i="18"/>
  <c r="X24" i="18"/>
  <c r="AJ8" i="18"/>
  <c r="M14" i="1"/>
  <c r="AB14" i="1" s="1"/>
  <c r="AA14" i="1" s="1"/>
  <c r="R40" i="18"/>
  <c r="L40" i="18"/>
  <c r="X16" i="18"/>
  <c r="L24" i="18"/>
  <c r="AJ24" i="18"/>
  <c r="X32" i="18"/>
  <c r="AJ40" i="18"/>
  <c r="R16" i="18"/>
  <c r="AD40" i="18"/>
  <c r="AD32" i="18"/>
  <c r="AD16" i="18"/>
  <c r="M16" i="1"/>
  <c r="AB16" i="1" s="1"/>
  <c r="AA16" i="1" s="1"/>
  <c r="J42" i="18"/>
  <c r="P34" i="18"/>
  <c r="AB18" i="18"/>
  <c r="AB42" i="18"/>
  <c r="AH34" i="18"/>
  <c r="P10" i="18"/>
  <c r="V34" i="18"/>
  <c r="P42" i="18"/>
  <c r="V42" i="18"/>
  <c r="AH42" i="18"/>
  <c r="AB26" i="18"/>
  <c r="AH26" i="18"/>
  <c r="V26" i="18"/>
  <c r="AB34" i="18"/>
  <c r="V10" i="18"/>
  <c r="AH18" i="18"/>
  <c r="J34" i="18"/>
  <c r="J10" i="18"/>
  <c r="AB10" i="18"/>
  <c r="J18" i="18"/>
  <c r="N16" i="1"/>
  <c r="P26" i="18"/>
  <c r="J26" i="18"/>
  <c r="AH10" i="18"/>
  <c r="P18" i="18"/>
  <c r="V18"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J40" i="18"/>
  <c r="AB40" i="18"/>
  <c r="AH32" i="18"/>
  <c r="AB24" i="18"/>
  <c r="V16" i="18"/>
  <c r="M13" i="1"/>
  <c r="AB13" i="1" s="1"/>
  <c r="AA13" i="1" s="1"/>
  <c r="J16" i="18"/>
  <c r="P32" i="18"/>
  <c r="V24" i="18"/>
  <c r="P24" i="18"/>
  <c r="V40" i="18"/>
  <c r="P16" i="18"/>
  <c r="P40" i="18"/>
  <c r="V32" i="18"/>
  <c r="AH16" i="18"/>
  <c r="AB16" i="18"/>
  <c r="V8" i="18"/>
  <c r="AH24" i="18"/>
  <c r="AH8" i="18"/>
  <c r="AH40" i="18"/>
  <c r="J8" i="18"/>
  <c r="AB32" i="18"/>
  <c r="AB8" i="18"/>
  <c r="J24" i="18"/>
  <c r="J32" i="18"/>
  <c r="P8" i="18"/>
  <c r="N13"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F24" i="18"/>
  <c r="AF32" i="18"/>
  <c r="T40" i="18"/>
  <c r="M15" i="1"/>
  <c r="AB15" i="1" s="1"/>
  <c r="AA15" i="1" s="1"/>
  <c r="Z40" i="18"/>
  <c r="AL8" i="18"/>
  <c r="AF8" i="18"/>
  <c r="T8" i="18"/>
  <c r="Z16" i="18"/>
  <c r="T24" i="18"/>
  <c r="AL24" i="18"/>
  <c r="Z32" i="18"/>
  <c r="N32" i="18"/>
  <c r="N16" i="18"/>
  <c r="Z8" i="18"/>
  <c r="AL40" i="18"/>
  <c r="N8" i="18"/>
  <c r="N24" i="18"/>
  <c r="T32" i="18"/>
  <c r="T16" i="18"/>
  <c r="AF40" i="18"/>
  <c r="AF16" i="18"/>
  <c r="AL32" i="18"/>
  <c r="N40" i="18"/>
  <c r="Z24" i="18"/>
  <c r="AL16" i="18"/>
  <c r="N15" i="1"/>
  <c r="J22" i="19" l="1"/>
  <c r="J32" i="19"/>
  <c r="V22" i="19"/>
  <c r="AH42" i="19"/>
  <c r="AB32" i="19"/>
  <c r="V52" i="19"/>
  <c r="P22" i="19"/>
  <c r="J12" i="19"/>
  <c r="AH32" i="19"/>
  <c r="AH22" i="19"/>
  <c r="V32" i="19"/>
  <c r="AB52" i="19"/>
  <c r="J52" i="19"/>
  <c r="P32" i="19"/>
  <c r="AB42" i="19"/>
  <c r="AB22" i="19"/>
  <c r="P12" i="19"/>
  <c r="J42" i="19"/>
  <c r="P42" i="19"/>
  <c r="AC16" i="1"/>
  <c r="AH12" i="19"/>
  <c r="AB12" i="19"/>
  <c r="V42" i="19"/>
  <c r="AH52" i="19"/>
  <c r="P52" i="19"/>
  <c r="V12" i="19"/>
  <c r="J11" i="19"/>
  <c r="AB21" i="19"/>
  <c r="J31" i="19"/>
  <c r="AC15" i="1"/>
  <c r="P41" i="19"/>
  <c r="AB31" i="19"/>
  <c r="P21" i="19"/>
  <c r="V31" i="19"/>
  <c r="AB11" i="19"/>
  <c r="V21" i="19"/>
  <c r="V51" i="19"/>
  <c r="AH51" i="19"/>
  <c r="J41" i="19"/>
  <c r="V11" i="19"/>
  <c r="P31" i="19"/>
  <c r="AB41" i="19"/>
  <c r="AH41" i="19"/>
  <c r="J21" i="19"/>
  <c r="AB51" i="19"/>
  <c r="V41" i="19"/>
  <c r="AH21" i="19"/>
  <c r="P51" i="19"/>
  <c r="AH31" i="19"/>
  <c r="J51" i="19"/>
  <c r="AH11" i="19"/>
  <c r="P11" i="19"/>
  <c r="J40" i="19"/>
  <c r="AH20" i="19"/>
  <c r="V20" i="19"/>
  <c r="P10" i="19"/>
  <c r="J50" i="19"/>
  <c r="P30" i="19"/>
  <c r="P50" i="19"/>
  <c r="AH30" i="19"/>
  <c r="J10" i="19"/>
  <c r="AH50" i="19"/>
  <c r="V10" i="19"/>
  <c r="J20" i="19"/>
  <c r="V40" i="19"/>
  <c r="V30" i="19"/>
  <c r="J30" i="19"/>
  <c r="AH10" i="19"/>
  <c r="AB50" i="19"/>
  <c r="AB40" i="19"/>
  <c r="V50" i="19"/>
  <c r="AB10" i="19"/>
  <c r="AH40" i="19"/>
  <c r="AB20" i="19"/>
  <c r="AC14" i="1"/>
  <c r="P20" i="19"/>
  <c r="P40" i="19"/>
  <c r="AB30" i="19"/>
  <c r="AC13" i="1"/>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AC12" i="1"/>
  <c r="P18" i="19"/>
  <c r="P38" i="19"/>
  <c r="J28" i="19"/>
  <c r="AH38" i="19"/>
  <c r="J48" i="19"/>
  <c r="P48" i="19"/>
  <c r="V28" i="19"/>
  <c r="AB18" i="19"/>
  <c r="AB8" i="19"/>
  <c r="J8" i="19"/>
  <c r="P28" i="19"/>
  <c r="J18" i="19"/>
  <c r="AH8" i="19"/>
  <c r="AB28" i="19"/>
  <c r="AB48" i="19"/>
  <c r="V38" i="19"/>
  <c r="V8" i="19"/>
  <c r="AH28" i="19"/>
  <c r="AH48" i="19"/>
  <c r="AB38" i="19"/>
  <c r="AH18" i="19"/>
  <c r="V48" i="19"/>
  <c r="V18" i="19"/>
  <c r="P8" i="19"/>
  <c r="J3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B223" i="13"/>
  <c r="B222" i="13"/>
  <c r="K15" i="1" l="1"/>
  <c r="K17" i="1"/>
  <c r="L17" i="1" s="1"/>
  <c r="K29" i="1"/>
  <c r="L29" i="1" s="1"/>
  <c r="K10" i="1"/>
  <c r="K16" i="1"/>
  <c r="K23" i="1"/>
  <c r="L23" i="1" s="1"/>
  <c r="K13" i="1"/>
  <c r="K14" i="1"/>
  <c r="K12" i="1"/>
  <c r="K11" i="1"/>
  <c r="AF34" i="18" l="1"/>
  <c r="Z26" i="18"/>
  <c r="Z42" i="18"/>
  <c r="N42" i="18"/>
  <c r="AF26" i="18"/>
  <c r="AF10" i="18"/>
  <c r="N10" i="18"/>
  <c r="M23" i="1"/>
  <c r="AL42" i="18"/>
  <c r="AL10" i="18"/>
  <c r="N18" i="18"/>
  <c r="T10" i="18"/>
  <c r="AF42" i="18"/>
  <c r="AL26" i="18"/>
  <c r="T26" i="18"/>
  <c r="AL18" i="18"/>
  <c r="N23" i="1"/>
  <c r="T18" i="18"/>
  <c r="Z18" i="18"/>
  <c r="Z10" i="18"/>
  <c r="T34" i="18"/>
  <c r="AF18" i="18"/>
  <c r="Z34" i="18"/>
  <c r="N34" i="18"/>
  <c r="N26" i="18"/>
  <c r="T42" i="18"/>
  <c r="AL34" i="18"/>
  <c r="AH12" i="18"/>
  <c r="P44" i="18"/>
  <c r="AH36" i="18"/>
  <c r="V20" i="18"/>
  <c r="AB44" i="18"/>
  <c r="M29" i="1"/>
  <c r="AB29" i="1" s="1"/>
  <c r="AA29" i="1" s="1"/>
  <c r="J44" i="18"/>
  <c r="P12" i="18"/>
  <c r="P20" i="18"/>
  <c r="V44" i="18"/>
  <c r="V28" i="18"/>
  <c r="AH28" i="18"/>
  <c r="J12" i="18"/>
  <c r="AB28" i="18"/>
  <c r="AH20" i="18"/>
  <c r="J36" i="18"/>
  <c r="J28" i="18"/>
  <c r="AH44" i="18"/>
  <c r="V36" i="18"/>
  <c r="J20" i="18"/>
  <c r="AB12" i="18"/>
  <c r="V12" i="18"/>
  <c r="AB36" i="18"/>
  <c r="P28" i="18"/>
  <c r="P36" i="18"/>
  <c r="AB20" i="18"/>
  <c r="N29" i="1"/>
  <c r="AD26" i="18"/>
  <c r="X18" i="18"/>
  <c r="AJ10" i="18"/>
  <c r="M17" i="1"/>
  <c r="R34" i="18"/>
  <c r="R42" i="18"/>
  <c r="X42" i="18"/>
  <c r="L10" i="18"/>
  <c r="X34" i="18"/>
  <c r="AD42" i="18"/>
  <c r="L18" i="18"/>
  <c r="L34" i="18"/>
  <c r="X26" i="18"/>
  <c r="AD34" i="18"/>
  <c r="L42" i="18"/>
  <c r="X10" i="18"/>
  <c r="AJ34" i="18"/>
  <c r="AJ26" i="18"/>
  <c r="AJ42" i="18"/>
  <c r="AJ18" i="18"/>
  <c r="AD10" i="18"/>
  <c r="L26" i="18"/>
  <c r="R18" i="18"/>
  <c r="R26" i="18"/>
  <c r="AD18" i="18"/>
  <c r="R10" i="18"/>
  <c r="N17" i="1"/>
  <c r="J15" i="19" l="1"/>
  <c r="AB15" i="19"/>
  <c r="J35" i="19"/>
  <c r="AH15" i="19"/>
  <c r="AC29" i="1"/>
  <c r="J45" i="19"/>
  <c r="P15" i="19"/>
  <c r="V35" i="19"/>
  <c r="P25" i="19"/>
  <c r="AH25" i="19"/>
  <c r="AH35" i="19"/>
  <c r="V25" i="19"/>
  <c r="P45" i="19"/>
  <c r="J55" i="19"/>
  <c r="V45" i="19"/>
  <c r="AH55" i="19"/>
  <c r="V15" i="19"/>
  <c r="AB35" i="19"/>
  <c r="AB55" i="19"/>
  <c r="P55" i="19"/>
  <c r="V55" i="19"/>
  <c r="AB45" i="19"/>
  <c r="AH45" i="19"/>
  <c r="AB25" i="19"/>
  <c r="J25" i="19"/>
  <c r="P3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<sst xmlns="http://schemas.openxmlformats.org/spreadsheetml/2006/main" count="428" uniqueCount="246">
  <si>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</si>
  <si>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</si>
  <si>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</si>
  <si>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</si>
  <si>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</si>
  <si>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</si>
  <si>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</si>
  <si>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</si>
  <si>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</si>
  <si>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</si>
  <si>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</si>
  <si>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</si>
  <si>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</si>
  <si>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</si>
  <si>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</si>
  <si>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</si>
  <si>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</si>
  <si>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</si>
  <si>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</si>
  <si>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</si>
  <si>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</si>
  <si>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</si>
  <si>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</si>
  <si>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</si>
  <si>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</si>
  <si>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</si>
  <si>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</si>
  <si>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</si>
  <si>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</si>
  <si>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</si>
  <si>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</si>
  <si>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</si>
  <si>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</si>
  <si>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</si>
  <si>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</si>
  <si>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</si>
  <si>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</si>
  <si>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</si>
  <si>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</si>
  <si>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</si>
  <si>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</si>
  <si>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</si>
  <si>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</si>
  <si>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</si>
  <si>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</si>
  <si>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</si>
  <si>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</si>
  <si>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</si>
  <si>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</si>
  <si>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</si>
  <si>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</si>
  <si>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</si>
  <si>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</si>
  <si>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</si>
  <si>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</si>
  <si>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</si>
  <si>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</si>
  <si>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</si>
  <si>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</si>
  <si>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</si>
  <si>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</si>
  <si>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</si>
  <si>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</si>
  <si>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</si>
  <si>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</si>
  <si>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</si>
  <si>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</si>
  <si>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</si>
  <si>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</si>
  <si>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</si>
  <si>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</si>
  <si>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</si>
  <si>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</si>
  <si>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</si>
  <si>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</si>
  <si>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</si>
  <si>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</si>
  <si>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</si>
  <si>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</si>
  <si>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</si>
  <si>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</si>
  <si>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</si>
  <si>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</si>
  <si>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</si>
  <si>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</si>
  <si>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</si>
  <si>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</si>
  <si>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</si>
  <si>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</si>
  <si>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</si>
  <si>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</si>
  <si>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</si>
  <si>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</si>
  <si>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</si>
  <si>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</si>
  <si>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</si>
  <si>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</si>
  <si>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</si>
  <si>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</si>
  <si>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</si>
  <si>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</si>
  <si>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</si>
  <si>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</si>
  <si>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</si>
  <si>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</si>
  <si>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</si>
  <si>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</si>
  <si>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</si>
  <si>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</si>
  <si>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</si>
  <si>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</si>
  <si>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</si>
  <si>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</si>
  <si>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</si>
  <si>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</si>
  <si>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</si>
  <si>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</si>
  <si>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</si>
  <si>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</si>
  <si>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</si>
  <si>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</si>
  <si>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</si>
  <si>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</si>
  <si>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</si>
  <si>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</si>
  <si>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</si>
  <si>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</si>
  <si>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</si>
  <si>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</si>
  <si>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</si>
  <si>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</si>
  <si>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</si>
  <si>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</si>
  <si>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</si>
  <si>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</si>
  <si>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</si>
  <si>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</si>
  <si>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</si>
  <si>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</si>
  <si>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</si>
  <si>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</si>
  <si>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</si>
  <si>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</si>
  <si>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</si>
  <si>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</si>
  <si>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</si>
  <si>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</si>
  <si>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</si>
  <si>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</si>
  <si>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</si>
  <si>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</si>
  <si>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</si>
  <si>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</si>
  <si>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</si>
  <si>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</si>
  <si>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</si>
  <si>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</si>
  <si>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</si>
  <si>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</si>
  <si>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</si>
  <si>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</si>
  <si>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</si>
  <si>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</si>
  <si>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</si>
  <si>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</si>
  <si>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</si>
  <si>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</si>
  <si>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</si>
  <si>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</si>
  <si>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</si>
  <si>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</si>
  <si>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</si>
  <si>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</si>
  <si>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</si>
  <si>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</si>
  <si>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</si>
  <si>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</si>
  <si>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</si>
  <si>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</si>
  <si>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</si>
  <si>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</si>
  <si>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</si>
  <si>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</si>
  <si>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</si>
  <si>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</si>
  <si>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</si>
  <si>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</si>
  <si>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</si>
  <si>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</si>
  <si>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</si>
  <si>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</si>
  <si>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</si>
  <si>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</si>
  <si>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</si>
  <si>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</si>
  <si>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</si>
  <si>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</si>
  <si>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</si>
  <si>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</si>
  <si>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</si>
  <si>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</si>
  <si>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</si>
  <si>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</si>
  <si>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</si>
  <si>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</si>
  <si>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</si>
  <si>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</si>
  <si>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</si>
  <si>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</si>
  <si>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</si>
  <si>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</si>
  <si>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</si>
  <si>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</si>
  <si>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GESTION TECNOLOGICA</t>
  </si>
  <si>
    <t>PLANEAR, ORGANIZAR, COORDINAR Y CONTROLAR LOS COMPONENTES RELACIONADOS CON LA PLATAFORMA TECNOLÓGICA DE LA EDAT S.A. E.S.P. OFICIAL, ASESORAR Y ACOMPAÑAR A LAS DIFERENTES DEPENDENCIAS EN LA ADECUADA UTILIZACIÓN DEL HARDWARE, SOFTWARE Y LAS COMUNICACIONES, NECESARIAS PARA EL CUMPLIMIENTO DE LA MISIÓN INSTITUCIONAL.</t>
  </si>
  <si>
    <t xml:space="preserve">Inicia con la planeación de las actividades y culmina con el seguimiento y evaluación del proceso          
</t>
  </si>
  <si>
    <t>DEBILIDADES EN LOS NIVELES DE SEGURIDAD DE LA INFORMACIÓN QUE SE  MANEJA EN LA ORGANIZACIÓN                           DESCRIPCION                                      'El manejo de la información que se tiene en la entidad, presenta bastantes inconvenientes de protección de datos, perdida y modificación non- autorizada, no se garantiza la confidencialidad, integridad y la disponibilidad de los datos.</t>
  </si>
  <si>
    <t xml:space="preserve">Perdida de documentación por deterioro ambiental. Daño en los discos duros de los computadores por los repentinos cambios de voltajes dentro de la entidad. Manejo  </t>
  </si>
  <si>
    <t>ANUAL</t>
  </si>
  <si>
    <t>MEDIA</t>
  </si>
  <si>
    <t>ALTA</t>
  </si>
  <si>
    <t>MAYOR</t>
  </si>
  <si>
    <t>Caracterización del Proceso de Gestión Tecnológica, documentos y formatos para su operación
Politicas de Seguridad de la Información
PETIC actualizado</t>
  </si>
  <si>
    <t>Secretaría General - Equipo Gestión Tecnológica</t>
  </si>
  <si>
    <t xml:space="preserve">SABOTAJE                           DESCRIPCION                                    'Se puede evidenciar cuando el personal de contratistas que cumplen su periodo laboral dentro de la entidad se va y no se deja un backup de la información y de los multiples procesos que manejó en el periodo en el que laboro dentro de la entidad. </t>
  </si>
  <si>
    <t>Perdida de información valioza para los diferentes procesos que se llevan al interior de la entidad. Perdida de documentación que no ha sido digitalizada en los diferentes procesos contractuales.</t>
  </si>
  <si>
    <t>VIGENCIA</t>
  </si>
  <si>
    <t>MODERADO</t>
  </si>
  <si>
    <t xml:space="preserve">Corto circuitos en los toma corriente. Cableado deficiente y antiguo. </t>
  </si>
  <si>
    <t>La falta de políticas de seguridad de la información. Mal manejo de la información dentro de la organización. Actualizar y mejorar el PETIC.</t>
  </si>
  <si>
    <t>FALLAS EN SISTEMAS DE INFORMACIÓN O EQUIPOS DE COMUNICACIONES                   DESCRIPCION                                         'Fallas en los distintos sistemas de información o equipos de comunicación requeridos por la entidad.</t>
  </si>
  <si>
    <t xml:space="preserve">Fallas en la comunicación de las diferentes dependencias de la entidad.  </t>
  </si>
  <si>
    <t>Implementación de los proyectos definidos en el PETIC de la Entidad, según las áreas responsables y tiempos establecidos</t>
  </si>
  <si>
    <t>Actualización de las políticas de seguridad de la información  y el PETIC</t>
  </si>
  <si>
    <t xml:space="preserve">CUMPLIMIENTO DE LA NORMATIVIDAD LEGAL DESCRIPCION                                         Debido a los cambios que se estan presentando constantemente en la normatividad de la gestión tecnológica, se presentan fallas de conocimiento y de actualización de dichas nuevas normas y leyes. </t>
  </si>
  <si>
    <t>Cambios Normativos
Rotación del personal</t>
  </si>
  <si>
    <t>BAJA</t>
  </si>
  <si>
    <t>MENOR</t>
  </si>
  <si>
    <t>Actualización permanente del Normograma del proceso</t>
  </si>
  <si>
    <t>FALTA DE SERVIDORES PARA SALVAGUARDAR LA INFORMACIÓN   DESRIPCION                                              'Debido a la fatal de de servidores tanto fisico como virtuales para realizar las respectivas copias de seguridad o Backups de la información de la entidad, por parte del área de sistemas.</t>
  </si>
  <si>
    <t xml:space="preserve">La falta de que la entidad realice la compra de uno o varios servidores para que sea haga un eficiente manejo de la información y su salvaguarda para evitar perdidas de dicha información. </t>
  </si>
  <si>
    <t>Junio a Diciembre 2023</t>
  </si>
  <si>
    <t>Enero a Diciembre 2023</t>
  </si>
  <si>
    <t xml:space="preserve">CABLEADO ELECTRICO ES BASTANTE DEFECTUOSO Y ANTIGUO DENTRO DE LA ORGANIZACIÓN                                  DESCRIPCION                                        'Se presenta por multiples fallas en la infraestructura electrica dentro de la edificación lo cual hace que constantemente se presenten cortes y deterioro de los elementos como toma corrientes.  </t>
  </si>
  <si>
    <t>DEBILIDADES EN LA ACTUALIZACIÓN E IMPLEMENTACIÓN DE  POLÍTICAS DE SEGURIDAD DE LA INFORMACIÓN Y PETIC  DESCRIPCION                                     'En la entidad ya se cuenta con el PETIC que se esta verificando para su actualización y posterior implementación en las nuevas normas y politicas de acuerdo al MINTIC</t>
  </si>
  <si>
    <t>Formato Mapa Riesgos -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</si>
</sst>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59" fillId="3" borderId="34" xfId="0" quotePrefix="1" applyFont="1" applyFill="1" applyBorder="1" applyAlignment="1">
      <alignment horizontal="center" vertical="center" wrapText="1"/>
    </xf>
    <xf numFmtId="0" fontId="59" fillId="3" borderId="34" xfId="0" applyFont="1" applyFill="1" applyBorder="1" applyAlignment="1">
      <alignment horizontal="center" vertical="center" wrapText="1"/>
    </xf>
    <xf numFmtId="0" fontId="59" fillId="3" borderId="33" xfId="0" quotePrefix="1" applyFont="1" applyFill="1" applyBorder="1" applyAlignment="1">
      <alignment horizontal="center" vertical="center" wrapText="1"/>
    </xf>
    <xf numFmtId="0" fontId="1" fillId="0" borderId="4"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textRotation="90" wrapText="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3" borderId="0" xfId="0" applyFont="1" applyFill="1" applyAlignment="1">
      <alignment horizontal="left" vertical="center"/>
    </xf>
    <xf numFmtId="0" fontId="26" fillId="2" borderId="28" xfId="0" applyFont="1" applyFill="1" applyBorder="1" applyAlignment="1">
      <alignment horizontal="left" vertical="center"/>
    </xf>
    <xf numFmtId="0" fontId="26" fillId="2" borderId="29" xfId="0" applyFont="1" applyFill="1" applyBorder="1" applyAlignment="1">
      <alignment horizontal="left" vertical="center"/>
    </xf>
    <xf numFmtId="0" fontId="26" fillId="2" borderId="30" xfId="0" applyFont="1" applyFill="1" applyBorder="1" applyAlignment="1">
      <alignment horizontal="left" vertical="center"/>
    </xf>
    <xf numFmtId="0" fontId="26" fillId="2" borderId="3" xfId="0" applyFont="1" applyFill="1" applyBorder="1" applyAlignment="1">
      <alignment horizontal="left" vertical="center"/>
    </xf>
    <xf numFmtId="0" fontId="26" fillId="2" borderId="31" xfId="0" applyFont="1" applyFill="1" applyBorder="1" applyAlignment="1">
      <alignment horizontal="left" vertical="center"/>
    </xf>
    <xf numFmtId="0" fontId="26" fillId="2" borderId="32"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3" borderId="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48" fillId="0" borderId="35" xfId="0" applyFont="1" applyBorder="1" applyAlignment="1">
      <alignment horizontal="left" vertical="center" wrapText="1"/>
    </xf>
    <xf numFmtId="0" fontId="48" fillId="0" borderId="36" xfId="0" applyFont="1" applyBorder="1" applyAlignment="1">
      <alignment horizontal="left" vertical="center" wrapText="1"/>
    </xf>
    <xf numFmtId="0" fontId="48" fillId="0" borderId="47" xfId="0" applyFont="1" applyBorder="1" applyAlignment="1">
      <alignment horizontal="left" vertical="center"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1">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72971</xdr:colOff>
      <xdr:row>2</xdr:row>
      <xdr:rowOff>163286</xdr:rowOff>
    </xdr:from>
    <xdr:to>
      <xdr:col>22</xdr:col>
      <xdr:colOff>334736</xdr:colOff>
      <xdr:row>5</xdr:row>
      <xdr:rowOff>478972</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8407" y="683838"/>
          <a:ext cx="1889876" cy="123496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0" dataDxfId="49">
  <autoFilter ref="B209:C219" xr:uid="{00000000-0009-0000-0100-000001000000}"/>
  <tableColumns count="2">
    <tableColumn id="1" xr3:uid="{00000000-0010-0000-0000-000001000000}" name="Criterios" dataDxfId="48"/>
    <tableColumn id="2" xr3:uid="{00000000-0010-0000-0000-000002000000}" name="Subcriterios" dataDxfId="4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36328125" defaultRowHeight="14.5" x14ac:dyDescent="0.35"/>
  <cols>
    <col min="1" max="1" width="2.81640625" style="83" customWidth="1"/>
    <col min="2" max="3" width="24.7265625" style="83" customWidth="1"/>
    <col min="4" max="4" width="16" style="83" customWidth="1"/>
    <col min="5" max="5" width="24.7265625" style="83" customWidth="1"/>
    <col min="6" max="6" width="27.7265625" style="83" customWidth="1"/>
    <col min="7" max="8" width="24.7265625" style="83" customWidth="1"/>
    <col min="9" max="16384" width="11.36328125" style="83"/>
  </cols>
  <sheetData>
    <row r="1" spans="2:8" ht="15" thickBot="1" x14ac:dyDescent="0.4"/>
    <row r="2" spans="2:8" ht="18" x14ac:dyDescent="0.35">
      <c r="B2" s="150" t="s">
        <v>165</v>
      </c>
      <c r="C2" s="151"/>
      <c r="D2" s="151"/>
      <c r="E2" s="151"/>
      <c r="F2" s="151"/>
      <c r="G2" s="151"/>
      <c r="H2" s="152"/>
    </row>
    <row r="3" spans="2:8" x14ac:dyDescent="0.35">
      <c r="B3" s="84"/>
      <c r="C3" s="85"/>
      <c r="D3" s="85"/>
      <c r="E3" s="85"/>
      <c r="F3" s="85"/>
      <c r="G3" s="85"/>
      <c r="H3" s="86"/>
    </row>
    <row r="4" spans="2:8" ht="63" customHeight="1" x14ac:dyDescent="0.35">
      <c r="B4" s="153" t="s">
        <v>208</v>
      </c>
      <c r="C4" s="154"/>
      <c r="D4" s="154"/>
      <c r="E4" s="154"/>
      <c r="F4" s="154"/>
      <c r="G4" s="154"/>
      <c r="H4" s="155"/>
    </row>
    <row r="5" spans="2:8" ht="63" customHeight="1" x14ac:dyDescent="0.35">
      <c r="B5" s="156"/>
      <c r="C5" s="157"/>
      <c r="D5" s="157"/>
      <c r="E5" s="157"/>
      <c r="F5" s="157"/>
      <c r="G5" s="157"/>
      <c r="H5" s="158"/>
    </row>
    <row r="6" spans="2:8" x14ac:dyDescent="0.35">
      <c r="B6" s="159" t="s">
        <v>163</v>
      </c>
      <c r="C6" s="160"/>
      <c r="D6" s="160"/>
      <c r="E6" s="160"/>
      <c r="F6" s="160"/>
      <c r="G6" s="160"/>
      <c r="H6" s="161"/>
    </row>
    <row r="7" spans="2:8" ht="95.25" customHeight="1" x14ac:dyDescent="0.35">
      <c r="B7" s="169" t="s">
        <v>168</v>
      </c>
      <c r="C7" s="170"/>
      <c r="D7" s="170"/>
      <c r="E7" s="170"/>
      <c r="F7" s="170"/>
      <c r="G7" s="170"/>
      <c r="H7" s="171"/>
    </row>
    <row r="8" spans="2:8" x14ac:dyDescent="0.35">
      <c r="B8" s="120"/>
      <c r="C8" s="121"/>
      <c r="D8" s="121"/>
      <c r="E8" s="121"/>
      <c r="F8" s="121"/>
      <c r="G8" s="121"/>
      <c r="H8" s="122"/>
    </row>
    <row r="9" spans="2:8" ht="16.5" customHeight="1" x14ac:dyDescent="0.35">
      <c r="B9" s="162" t="s">
        <v>201</v>
      </c>
      <c r="C9" s="163"/>
      <c r="D9" s="163"/>
      <c r="E9" s="163"/>
      <c r="F9" s="163"/>
      <c r="G9" s="163"/>
      <c r="H9" s="164"/>
    </row>
    <row r="10" spans="2:8" ht="44.25" customHeight="1" x14ac:dyDescent="0.35">
      <c r="B10" s="162"/>
      <c r="C10" s="163"/>
      <c r="D10" s="163"/>
      <c r="E10" s="163"/>
      <c r="F10" s="163"/>
      <c r="G10" s="163"/>
      <c r="H10" s="164"/>
    </row>
    <row r="11" spans="2:8" ht="15" thickBot="1" x14ac:dyDescent="0.4">
      <c r="B11" s="109"/>
      <c r="C11" s="112"/>
      <c r="D11" s="117"/>
      <c r="E11" s="118"/>
      <c r="F11" s="118"/>
      <c r="G11" s="119"/>
      <c r="H11" s="113"/>
    </row>
    <row r="12" spans="2:8" ht="15" thickTop="1" x14ac:dyDescent="0.35">
      <c r="B12" s="109"/>
      <c r="C12" s="165" t="s">
        <v>164</v>
      </c>
      <c r="D12" s="166"/>
      <c r="E12" s="167" t="s">
        <v>202</v>
      </c>
      <c r="F12" s="168"/>
      <c r="G12" s="112"/>
      <c r="H12" s="113"/>
    </row>
    <row r="13" spans="2:8" ht="35.25" customHeight="1" x14ac:dyDescent="0.35">
      <c r="B13" s="109"/>
      <c r="C13" s="172" t="s">
        <v>195</v>
      </c>
      <c r="D13" s="173"/>
      <c r="E13" s="174" t="s">
        <v>200</v>
      </c>
      <c r="F13" s="175"/>
      <c r="G13" s="112"/>
      <c r="H13" s="113"/>
    </row>
    <row r="14" spans="2:8" ht="17.25" customHeight="1" x14ac:dyDescent="0.35">
      <c r="B14" s="109"/>
      <c r="C14" s="172" t="s">
        <v>196</v>
      </c>
      <c r="D14" s="173"/>
      <c r="E14" s="174" t="s">
        <v>198</v>
      </c>
      <c r="F14" s="175"/>
      <c r="G14" s="112"/>
      <c r="H14" s="113"/>
    </row>
    <row r="15" spans="2:8" ht="19.5" customHeight="1" x14ac:dyDescent="0.35">
      <c r="B15" s="109"/>
      <c r="C15" s="172" t="s">
        <v>197</v>
      </c>
      <c r="D15" s="173"/>
      <c r="E15" s="174" t="s">
        <v>199</v>
      </c>
      <c r="F15" s="175"/>
      <c r="G15" s="112"/>
      <c r="H15" s="113"/>
    </row>
    <row r="16" spans="2:8" ht="69.75" customHeight="1" x14ac:dyDescent="0.35">
      <c r="B16" s="109"/>
      <c r="C16" s="172" t="s">
        <v>166</v>
      </c>
      <c r="D16" s="173"/>
      <c r="E16" s="174" t="s">
        <v>167</v>
      </c>
      <c r="F16" s="175"/>
      <c r="G16" s="112"/>
      <c r="H16" s="113"/>
    </row>
    <row r="17" spans="2:8" ht="34.5" customHeight="1" x14ac:dyDescent="0.35">
      <c r="B17" s="109"/>
      <c r="C17" s="176" t="s">
        <v>2</v>
      </c>
      <c r="D17" s="177"/>
      <c r="E17" s="178" t="s">
        <v>209</v>
      </c>
      <c r="F17" s="179"/>
      <c r="G17" s="112"/>
      <c r="H17" s="113"/>
    </row>
    <row r="18" spans="2:8" ht="27.75" customHeight="1" x14ac:dyDescent="0.35">
      <c r="B18" s="109"/>
      <c r="C18" s="176" t="s">
        <v>3</v>
      </c>
      <c r="D18" s="177"/>
      <c r="E18" s="178" t="s">
        <v>210</v>
      </c>
      <c r="F18" s="179"/>
      <c r="G18" s="112"/>
      <c r="H18" s="113"/>
    </row>
    <row r="19" spans="2:8" ht="28.5" customHeight="1" x14ac:dyDescent="0.35">
      <c r="B19" s="109"/>
      <c r="C19" s="176" t="s">
        <v>42</v>
      </c>
      <c r="D19" s="177"/>
      <c r="E19" s="178" t="s">
        <v>211</v>
      </c>
      <c r="F19" s="179"/>
      <c r="G19" s="112"/>
      <c r="H19" s="113"/>
    </row>
    <row r="20" spans="2:8" ht="72.75" customHeight="1" x14ac:dyDescent="0.35">
      <c r="B20" s="109"/>
      <c r="C20" s="176" t="s">
        <v>1</v>
      </c>
      <c r="D20" s="177"/>
      <c r="E20" s="178" t="s">
        <v>212</v>
      </c>
      <c r="F20" s="179"/>
      <c r="G20" s="112"/>
      <c r="H20" s="113"/>
    </row>
    <row r="21" spans="2:8" ht="64.5" customHeight="1" x14ac:dyDescent="0.35">
      <c r="B21" s="109"/>
      <c r="C21" s="176" t="s">
        <v>50</v>
      </c>
      <c r="D21" s="177"/>
      <c r="E21" s="178" t="s">
        <v>170</v>
      </c>
      <c r="F21" s="179"/>
      <c r="G21" s="112"/>
      <c r="H21" s="113"/>
    </row>
    <row r="22" spans="2:8" ht="71.25" customHeight="1" x14ac:dyDescent="0.35">
      <c r="B22" s="109"/>
      <c r="C22" s="176" t="s">
        <v>169</v>
      </c>
      <c r="D22" s="177"/>
      <c r="E22" s="178" t="s">
        <v>171</v>
      </c>
      <c r="F22" s="179"/>
      <c r="G22" s="112"/>
      <c r="H22" s="113"/>
    </row>
    <row r="23" spans="2:8" ht="55.5" customHeight="1" x14ac:dyDescent="0.35">
      <c r="B23" s="109"/>
      <c r="C23" s="183" t="s">
        <v>172</v>
      </c>
      <c r="D23" s="184"/>
      <c r="E23" s="178" t="s">
        <v>173</v>
      </c>
      <c r="F23" s="179"/>
      <c r="G23" s="112"/>
      <c r="H23" s="113"/>
    </row>
    <row r="24" spans="2:8" ht="42" customHeight="1" x14ac:dyDescent="0.35">
      <c r="B24" s="109"/>
      <c r="C24" s="183" t="s">
        <v>48</v>
      </c>
      <c r="D24" s="184"/>
      <c r="E24" s="178" t="s">
        <v>174</v>
      </c>
      <c r="F24" s="179"/>
      <c r="G24" s="112"/>
      <c r="H24" s="113"/>
    </row>
    <row r="25" spans="2:8" ht="59.25" customHeight="1" x14ac:dyDescent="0.35">
      <c r="B25" s="109"/>
      <c r="C25" s="183" t="s">
        <v>162</v>
      </c>
      <c r="D25" s="184"/>
      <c r="E25" s="178" t="s">
        <v>175</v>
      </c>
      <c r="F25" s="179"/>
      <c r="G25" s="112"/>
      <c r="H25" s="113"/>
    </row>
    <row r="26" spans="2:8" ht="23.25" customHeight="1" x14ac:dyDescent="0.35">
      <c r="B26" s="109"/>
      <c r="C26" s="183" t="s">
        <v>12</v>
      </c>
      <c r="D26" s="184"/>
      <c r="E26" s="178" t="s">
        <v>176</v>
      </c>
      <c r="F26" s="179"/>
      <c r="G26" s="112"/>
      <c r="H26" s="113"/>
    </row>
    <row r="27" spans="2:8" ht="30.75" customHeight="1" x14ac:dyDescent="0.35">
      <c r="B27" s="109"/>
      <c r="C27" s="183" t="s">
        <v>180</v>
      </c>
      <c r="D27" s="184"/>
      <c r="E27" s="178" t="s">
        <v>177</v>
      </c>
      <c r="F27" s="179"/>
      <c r="G27" s="112"/>
      <c r="H27" s="113"/>
    </row>
    <row r="28" spans="2:8" ht="35.25" customHeight="1" x14ac:dyDescent="0.35">
      <c r="B28" s="109"/>
      <c r="C28" s="183" t="s">
        <v>181</v>
      </c>
      <c r="D28" s="184"/>
      <c r="E28" s="178" t="s">
        <v>178</v>
      </c>
      <c r="F28" s="179"/>
      <c r="G28" s="112"/>
      <c r="H28" s="113"/>
    </row>
    <row r="29" spans="2:8" ht="33" customHeight="1" x14ac:dyDescent="0.35">
      <c r="B29" s="109"/>
      <c r="C29" s="183" t="s">
        <v>181</v>
      </c>
      <c r="D29" s="184"/>
      <c r="E29" s="178" t="s">
        <v>178</v>
      </c>
      <c r="F29" s="179"/>
      <c r="G29" s="112"/>
      <c r="H29" s="113"/>
    </row>
    <row r="30" spans="2:8" ht="30" customHeight="1" x14ac:dyDescent="0.35">
      <c r="B30" s="109"/>
      <c r="C30" s="183" t="s">
        <v>182</v>
      </c>
      <c r="D30" s="184"/>
      <c r="E30" s="178" t="s">
        <v>179</v>
      </c>
      <c r="F30" s="179"/>
      <c r="G30" s="112"/>
      <c r="H30" s="113"/>
    </row>
    <row r="31" spans="2:8" ht="35.25" customHeight="1" x14ac:dyDescent="0.35">
      <c r="B31" s="109"/>
      <c r="C31" s="183" t="s">
        <v>183</v>
      </c>
      <c r="D31" s="184"/>
      <c r="E31" s="178" t="s">
        <v>184</v>
      </c>
      <c r="F31" s="179"/>
      <c r="G31" s="112"/>
      <c r="H31" s="113"/>
    </row>
    <row r="32" spans="2:8" ht="31.5" customHeight="1" x14ac:dyDescent="0.35">
      <c r="B32" s="109"/>
      <c r="C32" s="183" t="s">
        <v>185</v>
      </c>
      <c r="D32" s="184"/>
      <c r="E32" s="178" t="s">
        <v>186</v>
      </c>
      <c r="F32" s="179"/>
      <c r="G32" s="112"/>
      <c r="H32" s="113"/>
    </row>
    <row r="33" spans="2:8" ht="35.25" customHeight="1" x14ac:dyDescent="0.35">
      <c r="B33" s="109"/>
      <c r="C33" s="183" t="s">
        <v>187</v>
      </c>
      <c r="D33" s="184"/>
      <c r="E33" s="178" t="s">
        <v>188</v>
      </c>
      <c r="F33" s="179"/>
      <c r="G33" s="112"/>
      <c r="H33" s="113"/>
    </row>
    <row r="34" spans="2:8" ht="59.25" customHeight="1" x14ac:dyDescent="0.35">
      <c r="B34" s="109"/>
      <c r="C34" s="183" t="s">
        <v>189</v>
      </c>
      <c r="D34" s="184"/>
      <c r="E34" s="178" t="s">
        <v>190</v>
      </c>
      <c r="F34" s="179"/>
      <c r="G34" s="112"/>
      <c r="H34" s="113"/>
    </row>
    <row r="35" spans="2:8" ht="29.25" customHeight="1" x14ac:dyDescent="0.35">
      <c r="B35" s="109"/>
      <c r="C35" s="183" t="s">
        <v>29</v>
      </c>
      <c r="D35" s="184"/>
      <c r="E35" s="178" t="s">
        <v>191</v>
      </c>
      <c r="F35" s="179"/>
      <c r="G35" s="112"/>
      <c r="H35" s="113"/>
    </row>
    <row r="36" spans="2:8" ht="82.5" customHeight="1" x14ac:dyDescent="0.35">
      <c r="B36" s="109"/>
      <c r="C36" s="183" t="s">
        <v>193</v>
      </c>
      <c r="D36" s="184"/>
      <c r="E36" s="178" t="s">
        <v>192</v>
      </c>
      <c r="F36" s="179"/>
      <c r="G36" s="112"/>
      <c r="H36" s="113"/>
    </row>
    <row r="37" spans="2:8" ht="46.5" customHeight="1" x14ac:dyDescent="0.35">
      <c r="B37" s="109"/>
      <c r="C37" s="183" t="s">
        <v>39</v>
      </c>
      <c r="D37" s="184"/>
      <c r="E37" s="178" t="s">
        <v>194</v>
      </c>
      <c r="F37" s="179"/>
      <c r="G37" s="112"/>
      <c r="H37" s="113"/>
    </row>
    <row r="38" spans="2:8" ht="6.75" customHeight="1" thickBot="1" x14ac:dyDescent="0.4">
      <c r="B38" s="109"/>
      <c r="C38" s="185"/>
      <c r="D38" s="186"/>
      <c r="E38" s="187"/>
      <c r="F38" s="188"/>
      <c r="G38" s="112"/>
      <c r="H38" s="113"/>
    </row>
    <row r="39" spans="2:8" ht="15" thickTop="1" x14ac:dyDescent="0.35">
      <c r="B39" s="109"/>
      <c r="C39" s="110"/>
      <c r="D39" s="110"/>
      <c r="E39" s="111"/>
      <c r="F39" s="111"/>
      <c r="G39" s="112"/>
      <c r="H39" s="113"/>
    </row>
    <row r="40" spans="2:8" ht="21" customHeight="1" x14ac:dyDescent="0.35">
      <c r="B40" s="180" t="s">
        <v>203</v>
      </c>
      <c r="C40" s="181"/>
      <c r="D40" s="181"/>
      <c r="E40" s="181"/>
      <c r="F40" s="181"/>
      <c r="G40" s="181"/>
      <c r="H40" s="182"/>
    </row>
    <row r="41" spans="2:8" ht="20.25" customHeight="1" x14ac:dyDescent="0.35">
      <c r="B41" s="180" t="s">
        <v>204</v>
      </c>
      <c r="C41" s="181"/>
      <c r="D41" s="181"/>
      <c r="E41" s="181"/>
      <c r="F41" s="181"/>
      <c r="G41" s="181"/>
      <c r="H41" s="182"/>
    </row>
    <row r="42" spans="2:8" ht="20.25" customHeight="1" x14ac:dyDescent="0.35">
      <c r="B42" s="180" t="s">
        <v>205</v>
      </c>
      <c r="C42" s="181"/>
      <c r="D42" s="181"/>
      <c r="E42" s="181"/>
      <c r="F42" s="181"/>
      <c r="G42" s="181"/>
      <c r="H42" s="182"/>
    </row>
    <row r="43" spans="2:8" ht="20.25" customHeight="1" x14ac:dyDescent="0.35">
      <c r="B43" s="180" t="s">
        <v>206</v>
      </c>
      <c r="C43" s="181"/>
      <c r="D43" s="181"/>
      <c r="E43" s="181"/>
      <c r="F43" s="181"/>
      <c r="G43" s="181"/>
      <c r="H43" s="182"/>
    </row>
    <row r="44" spans="2:8" x14ac:dyDescent="0.35">
      <c r="B44" s="180" t="s">
        <v>207</v>
      </c>
      <c r="C44" s="181"/>
      <c r="D44" s="181"/>
      <c r="E44" s="181"/>
      <c r="F44" s="181"/>
      <c r="G44" s="181"/>
      <c r="H44" s="182"/>
    </row>
    <row r="45" spans="2:8" ht="15" thickBot="1" x14ac:dyDescent="0.4">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37"/>
  <sheetViews>
    <sheetView tabSelected="1" zoomScale="86" zoomScaleNormal="86" workbookViewId="0">
      <selection activeCell="C6" sqref="C6:N6"/>
    </sheetView>
  </sheetViews>
  <sheetFormatPr baseColWidth="10" defaultColWidth="11.36328125" defaultRowHeight="14" x14ac:dyDescent="0.3"/>
  <cols>
    <col min="1" max="1" width="4" style="2" bestFit="1" customWidth="1"/>
    <col min="2" max="2" width="14.1796875" style="2" customWidth="1"/>
    <col min="3" max="3" width="13.1796875" style="2" customWidth="1"/>
    <col min="4" max="4" width="20.1796875" style="2" customWidth="1"/>
    <col min="5" max="5" width="32.36328125" style="1" customWidth="1"/>
    <col min="6" max="6" width="19" style="5" customWidth="1"/>
    <col min="7" max="7" width="12.54296875" style="1" customWidth="1"/>
    <col min="8" max="8" width="16.54296875" style="1" customWidth="1"/>
    <col min="9" max="9" width="6.26953125" style="1" bestFit="1" customWidth="1"/>
    <col min="10" max="10" width="23.36328125" style="1" customWidth="1"/>
    <col min="11" max="11" width="10.36328125" style="1" hidden="1" customWidth="1"/>
    <col min="12" max="12" width="17.54296875" style="1" customWidth="1"/>
    <col min="13" max="13" width="6.26953125" style="1" bestFit="1" customWidth="1"/>
    <col min="14" max="14" width="16" style="1" customWidth="1"/>
    <col min="15" max="15" width="5.81640625" style="1" customWidth="1"/>
    <col min="16" max="16" width="31" style="1" customWidth="1"/>
    <col min="17" max="17" width="15.1796875" style="1" bestFit="1" customWidth="1"/>
    <col min="18" max="18" width="6.81640625" style="1" customWidth="1"/>
    <col min="19" max="19" width="5" style="1" customWidth="1"/>
    <col min="20" max="20" width="5.54296875" style="1" customWidth="1"/>
    <col min="21" max="21" width="7.1796875" style="1" customWidth="1"/>
    <col min="22" max="22" width="6.7265625" style="1" customWidth="1"/>
    <col min="23" max="23" width="7.54296875" style="1" customWidth="1"/>
    <col min="24" max="24" width="13" style="1" hidden="1" customWidth="1"/>
    <col min="25" max="25" width="8.7265625" style="1" customWidth="1"/>
    <col min="26" max="26" width="10.36328125" style="1" customWidth="1"/>
    <col min="27" max="27" width="9.26953125" style="1" customWidth="1"/>
    <col min="28" max="28" width="9.1796875" style="1" customWidth="1"/>
    <col min="29" max="29" width="8.36328125" style="1" customWidth="1"/>
    <col min="30" max="30" width="7.26953125" style="1" customWidth="1"/>
    <col min="31" max="31" width="23" style="1" customWidth="1"/>
    <col min="32" max="32" width="18.81640625" style="1" customWidth="1"/>
    <col min="33" max="33" width="16.81640625" style="1" customWidth="1"/>
    <col min="34" max="34" width="14.81640625" style="1" customWidth="1"/>
    <col min="35" max="35" width="18.54296875" style="1" customWidth="1"/>
    <col min="36" max="36" width="21" style="1" customWidth="1"/>
    <col min="37" max="16384" width="11.36328125" style="1"/>
  </cols>
  <sheetData>
    <row r="1" spans="1:68" ht="16.5" customHeight="1" x14ac:dyDescent="0.3">
      <c r="A1" s="228" t="s">
        <v>245</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30"/>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1"/>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3"/>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37" t="s">
        <v>43</v>
      </c>
      <c r="B4" s="238"/>
      <c r="C4" s="239" t="s">
        <v>213</v>
      </c>
      <c r="D4" s="240"/>
      <c r="E4" s="240"/>
      <c r="F4" s="240"/>
      <c r="G4" s="240"/>
      <c r="H4" s="240"/>
      <c r="I4" s="240"/>
      <c r="J4" s="240"/>
      <c r="K4" s="240"/>
      <c r="L4" s="240"/>
      <c r="M4" s="240"/>
      <c r="N4" s="241"/>
      <c r="O4" s="227"/>
      <c r="P4" s="227"/>
      <c r="Q4" s="227"/>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37" t="s">
        <v>130</v>
      </c>
      <c r="B5" s="238"/>
      <c r="C5" s="242" t="s">
        <v>214</v>
      </c>
      <c r="D5" s="243"/>
      <c r="E5" s="243"/>
      <c r="F5" s="243"/>
      <c r="G5" s="243"/>
      <c r="H5" s="243"/>
      <c r="I5" s="243"/>
      <c r="J5" s="243"/>
      <c r="K5" s="243"/>
      <c r="L5" s="243"/>
      <c r="M5" s="243"/>
      <c r="N5" s="243"/>
      <c r="O5" s="243"/>
      <c r="P5" s="243"/>
      <c r="Q5" s="244"/>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37" t="s">
        <v>44</v>
      </c>
      <c r="B6" s="238"/>
      <c r="C6" s="245" t="s">
        <v>215</v>
      </c>
      <c r="D6" s="246"/>
      <c r="E6" s="246"/>
      <c r="F6" s="246"/>
      <c r="G6" s="246"/>
      <c r="H6" s="246"/>
      <c r="I6" s="246"/>
      <c r="J6" s="246"/>
      <c r="K6" s="246"/>
      <c r="L6" s="246"/>
      <c r="M6" s="246"/>
      <c r="N6" s="247"/>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4" t="s">
        <v>139</v>
      </c>
      <c r="B7" s="235"/>
      <c r="C7" s="235"/>
      <c r="D7" s="235"/>
      <c r="E7" s="235"/>
      <c r="F7" s="235"/>
      <c r="G7" s="236"/>
      <c r="H7" s="234" t="s">
        <v>140</v>
      </c>
      <c r="I7" s="235"/>
      <c r="J7" s="235"/>
      <c r="K7" s="235"/>
      <c r="L7" s="235"/>
      <c r="M7" s="235"/>
      <c r="N7" s="236"/>
      <c r="O7" s="234" t="s">
        <v>141</v>
      </c>
      <c r="P7" s="235"/>
      <c r="Q7" s="235"/>
      <c r="R7" s="235"/>
      <c r="S7" s="235"/>
      <c r="T7" s="235"/>
      <c r="U7" s="235"/>
      <c r="V7" s="235"/>
      <c r="W7" s="236"/>
      <c r="X7" s="234" t="s">
        <v>142</v>
      </c>
      <c r="Y7" s="235"/>
      <c r="Z7" s="235"/>
      <c r="AA7" s="235"/>
      <c r="AB7" s="235"/>
      <c r="AC7" s="235"/>
      <c r="AD7" s="236"/>
      <c r="AE7" s="234" t="s">
        <v>34</v>
      </c>
      <c r="AF7" s="235"/>
      <c r="AG7" s="235"/>
      <c r="AH7" s="235"/>
      <c r="AI7" s="235"/>
      <c r="AJ7" s="236"/>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197" t="s">
        <v>0</v>
      </c>
      <c r="B8" s="201" t="s">
        <v>2</v>
      </c>
      <c r="C8" s="195" t="s">
        <v>3</v>
      </c>
      <c r="D8" s="195" t="s">
        <v>42</v>
      </c>
      <c r="E8" s="200" t="s">
        <v>1</v>
      </c>
      <c r="F8" s="199" t="s">
        <v>50</v>
      </c>
      <c r="G8" s="195" t="s">
        <v>135</v>
      </c>
      <c r="H8" s="196" t="s">
        <v>33</v>
      </c>
      <c r="I8" s="189" t="s">
        <v>5</v>
      </c>
      <c r="J8" s="199" t="s">
        <v>87</v>
      </c>
      <c r="K8" s="199" t="s">
        <v>92</v>
      </c>
      <c r="L8" s="191" t="s">
        <v>45</v>
      </c>
      <c r="M8" s="189" t="s">
        <v>5</v>
      </c>
      <c r="N8" s="195" t="s">
        <v>48</v>
      </c>
      <c r="O8" s="193" t="s">
        <v>11</v>
      </c>
      <c r="P8" s="192" t="s">
        <v>162</v>
      </c>
      <c r="Q8" s="199" t="s">
        <v>12</v>
      </c>
      <c r="R8" s="192" t="s">
        <v>8</v>
      </c>
      <c r="S8" s="192"/>
      <c r="T8" s="192"/>
      <c r="U8" s="192"/>
      <c r="V8" s="192"/>
      <c r="W8" s="192"/>
      <c r="X8" s="202" t="s">
        <v>138</v>
      </c>
      <c r="Y8" s="202" t="s">
        <v>46</v>
      </c>
      <c r="Z8" s="202" t="s">
        <v>5</v>
      </c>
      <c r="AA8" s="202" t="s">
        <v>47</v>
      </c>
      <c r="AB8" s="202" t="s">
        <v>5</v>
      </c>
      <c r="AC8" s="202" t="s">
        <v>49</v>
      </c>
      <c r="AD8" s="193" t="s">
        <v>29</v>
      </c>
      <c r="AE8" s="192" t="s">
        <v>34</v>
      </c>
      <c r="AF8" s="192" t="s">
        <v>35</v>
      </c>
      <c r="AG8" s="192" t="s">
        <v>36</v>
      </c>
      <c r="AH8" s="192" t="s">
        <v>38</v>
      </c>
      <c r="AI8" s="192" t="s">
        <v>37</v>
      </c>
      <c r="AJ8" s="192"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35">
      <c r="A9" s="198"/>
      <c r="B9" s="201"/>
      <c r="C9" s="192"/>
      <c r="D9" s="192"/>
      <c r="E9" s="201"/>
      <c r="F9" s="195"/>
      <c r="G9" s="192"/>
      <c r="H9" s="195"/>
      <c r="I9" s="190"/>
      <c r="J9" s="195"/>
      <c r="K9" s="195"/>
      <c r="L9" s="190"/>
      <c r="M9" s="190"/>
      <c r="N9" s="192"/>
      <c r="O9" s="194"/>
      <c r="P9" s="192"/>
      <c r="Q9" s="195"/>
      <c r="R9" s="7" t="s">
        <v>13</v>
      </c>
      <c r="S9" s="7" t="s">
        <v>17</v>
      </c>
      <c r="T9" s="7" t="s">
        <v>28</v>
      </c>
      <c r="U9" s="7" t="s">
        <v>18</v>
      </c>
      <c r="V9" s="7" t="s">
        <v>21</v>
      </c>
      <c r="W9" s="7" t="s">
        <v>24</v>
      </c>
      <c r="X9" s="202"/>
      <c r="Y9" s="202"/>
      <c r="Z9" s="202"/>
      <c r="AA9" s="202"/>
      <c r="AB9" s="202"/>
      <c r="AC9" s="202"/>
      <c r="AD9" s="194"/>
      <c r="AE9" s="192"/>
      <c r="AF9" s="192"/>
      <c r="AG9" s="192"/>
      <c r="AH9" s="192"/>
      <c r="AI9" s="192"/>
      <c r="AJ9" s="192"/>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18.25" customHeight="1" x14ac:dyDescent="0.35">
      <c r="A10" s="140">
        <v>1</v>
      </c>
      <c r="B10" s="137" t="s">
        <v>132</v>
      </c>
      <c r="C10" s="137"/>
      <c r="D10" s="137" t="s">
        <v>217</v>
      </c>
      <c r="E10" s="141" t="s">
        <v>216</v>
      </c>
      <c r="F10" s="137" t="s">
        <v>123</v>
      </c>
      <c r="G10" s="138" t="s">
        <v>218</v>
      </c>
      <c r="H10" s="139" t="s">
        <v>219</v>
      </c>
      <c r="I10" s="143">
        <f t="shared" ref="I10:I17" si="0">IF(H10="","",IF(H10="Muy Baja",0.2,IF(H10="Baja",0.4,IF(H10="Media",0.6,IF(H10="Alta",0.8,IF(H10="Muy Alta",1,))))))</f>
        <v>0.6</v>
      </c>
      <c r="J10" s="144"/>
      <c r="K10" s="143">
        <f ca="1">IF(NOT(ISERROR(MATCH(J10,'Tabla Impacto'!$B$221:$B$223,0))),'Tabla Impacto'!$F$223&amp;"Por favor no seleccionar los criterios de impacto(Afectación Económica o presupuestal y Pérdida Reputacional)",J10)</f>
        <v>0</v>
      </c>
      <c r="L10" s="139" t="s">
        <v>221</v>
      </c>
      <c r="M10" s="143">
        <f t="shared" ref="M10:M17" si="1">IF(L10="","",IF(L10="Leve",0.2,IF(L10="Menor",0.4,IF(L10="Moderado",0.6,IF(L10="Mayor",0.8,IF(L10="Catastrófico",1,))))))</f>
        <v>0.8</v>
      </c>
      <c r="N10" s="142" t="str">
        <f t="shared" ref="N10:N17" si="2">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45" t="s">
        <v>222</v>
      </c>
      <c r="Q10" s="125" t="str">
        <f t="shared" ref="Q10:Q19" si="3">IF(OR(R10="Preventivo",R10="Detectivo"),"Probabilidad",IF(R10="Correctivo","Impacto",""))</f>
        <v>Impacto</v>
      </c>
      <c r="R10" s="126" t="s">
        <v>16</v>
      </c>
      <c r="S10" s="126" t="s">
        <v>9</v>
      </c>
      <c r="T10" s="127" t="str">
        <f t="shared" ref="T10:T17" si="4">IF(AND(R10="Preventivo",S10="Automático"),"50%",IF(AND(R10="Preventivo",S10="Manual"),"40%",IF(AND(R10="Detectivo",S10="Automático"),"40%",IF(AND(R10="Detectivo",S10="Manual"),"30%",IF(AND(R10="Correctivo",S10="Automático"),"35%",IF(AND(R10="Correctivo",S10="Manual"),"25%",""))))))</f>
        <v>25%</v>
      </c>
      <c r="U10" s="126" t="s">
        <v>20</v>
      </c>
      <c r="V10" s="126" t="s">
        <v>22</v>
      </c>
      <c r="W10" s="126" t="s">
        <v>120</v>
      </c>
      <c r="X10" s="128">
        <f t="shared" ref="X10:X17" si="5">IFERROR(IF(Q10="Probabilidad",(I10-(+I10*T10)),IF(Q10="Impacto",I10,"")),"")</f>
        <v>0.6</v>
      </c>
      <c r="Y10" s="129" t="str">
        <f t="shared" ref="Y10:Y17" si="6">IFERROR(IF(X10="","",IF(X10&lt;=0.2,"Muy Baja",IF(X10&lt;=0.4,"Baja",IF(X10&lt;=0.6,"Media",IF(X10&lt;=0.8,"Alta","Muy Alta"))))),"")</f>
        <v>Media</v>
      </c>
      <c r="Z10" s="130">
        <f t="shared" ref="Z10:Z17" si="7">+X10</f>
        <v>0.6</v>
      </c>
      <c r="AA10" s="129" t="str">
        <f t="shared" ref="AA10:AA17" si="8">IFERROR(IF(AB10="","",IF(AB10&lt;=0.2,"Leve",IF(AB10&lt;=0.4,"Menor",IF(AB10&lt;=0.6,"Moderado",IF(AB10&lt;=0.8,"Mayor","Catastrófico"))))),"")</f>
        <v>Moderado</v>
      </c>
      <c r="AB10" s="130">
        <f t="shared" ref="AB10:AB17" si="9">IFERROR(IF(Q10="Impacto",(M10-(+M10*T10)),IF(Q10="Probabilidad",M10,"")),"")</f>
        <v>0.60000000000000009</v>
      </c>
      <c r="AC10" s="131" t="str">
        <f t="shared" ref="AC10:AC17" si="10">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45" t="s">
        <v>232</v>
      </c>
      <c r="AF10" s="146" t="s">
        <v>223</v>
      </c>
      <c r="AG10" s="146" t="s">
        <v>242</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5.25" customHeight="1" x14ac:dyDescent="0.3">
      <c r="A11" s="140">
        <v>2</v>
      </c>
      <c r="B11" s="137" t="s">
        <v>134</v>
      </c>
      <c r="C11" s="137"/>
      <c r="D11" s="137" t="s">
        <v>225</v>
      </c>
      <c r="E11" s="141" t="s">
        <v>224</v>
      </c>
      <c r="F11" s="137" t="s">
        <v>123</v>
      </c>
      <c r="G11" s="138" t="s">
        <v>226</v>
      </c>
      <c r="H11" s="139" t="s">
        <v>219</v>
      </c>
      <c r="I11" s="143">
        <f t="shared" si="0"/>
        <v>0.6</v>
      </c>
      <c r="J11" s="144"/>
      <c r="K11" s="143">
        <f ca="1">IF(NOT(ISERROR(MATCH(J11,'Tabla Impacto'!$B$221:$B$223,0))),'Tabla Impacto'!$F$223&amp;"Por favor no seleccionar los criterios de impacto(Afectación Económica o presupuestal y Pérdida Reputacional)",J11)</f>
        <v>0</v>
      </c>
      <c r="L11" s="139" t="s">
        <v>227</v>
      </c>
      <c r="M11" s="143">
        <f t="shared" si="1"/>
        <v>0.6</v>
      </c>
      <c r="N11" s="142" t="str">
        <f t="shared" si="2"/>
        <v>Moderado</v>
      </c>
      <c r="O11" s="123">
        <v>1</v>
      </c>
      <c r="P11" s="145" t="s">
        <v>222</v>
      </c>
      <c r="Q11" s="125" t="str">
        <f t="shared" si="3"/>
        <v>Impacto</v>
      </c>
      <c r="R11" s="126" t="s">
        <v>16</v>
      </c>
      <c r="S11" s="126" t="s">
        <v>9</v>
      </c>
      <c r="T11" s="127" t="str">
        <f t="shared" si="4"/>
        <v>25%</v>
      </c>
      <c r="U11" s="126" t="s">
        <v>20</v>
      </c>
      <c r="V11" s="126" t="s">
        <v>22</v>
      </c>
      <c r="W11" s="126" t="s">
        <v>120</v>
      </c>
      <c r="X11" s="128">
        <f t="shared" si="5"/>
        <v>0.6</v>
      </c>
      <c r="Y11" s="129" t="str">
        <f t="shared" si="6"/>
        <v>Media</v>
      </c>
      <c r="Z11" s="130">
        <f t="shared" si="7"/>
        <v>0.6</v>
      </c>
      <c r="AA11" s="129" t="str">
        <f t="shared" si="8"/>
        <v>Moderado</v>
      </c>
      <c r="AB11" s="130">
        <f t="shared" si="9"/>
        <v>0.44999999999999996</v>
      </c>
      <c r="AC11" s="131" t="str">
        <f t="shared" si="10"/>
        <v>Moderado</v>
      </c>
      <c r="AD11" s="132" t="s">
        <v>136</v>
      </c>
      <c r="AE11" s="145" t="s">
        <v>232</v>
      </c>
      <c r="AF11" s="146" t="s">
        <v>223</v>
      </c>
      <c r="AG11" s="146" t="s">
        <v>242</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46" customHeight="1" x14ac:dyDescent="0.3">
      <c r="A12" s="140">
        <v>3</v>
      </c>
      <c r="B12" s="137" t="s">
        <v>134</v>
      </c>
      <c r="C12" s="137"/>
      <c r="D12" s="137" t="s">
        <v>228</v>
      </c>
      <c r="E12" s="149" t="s">
        <v>243</v>
      </c>
      <c r="F12" s="137" t="s">
        <v>123</v>
      </c>
      <c r="G12" s="138" t="s">
        <v>226</v>
      </c>
      <c r="H12" s="139" t="s">
        <v>220</v>
      </c>
      <c r="I12" s="143">
        <f t="shared" si="0"/>
        <v>0.8</v>
      </c>
      <c r="J12" s="144" t="s">
        <v>148</v>
      </c>
      <c r="K12" s="143" t="str">
        <f ca="1">IF(NOT(ISERROR(MATCH(J12,'Tabla Impacto'!$B$221:$B$223,0))),'Tabla Impacto'!$F$223&amp;"Por favor no seleccionar los criterios de impacto(Afectación Económica o presupuestal y Pérdida Reputacional)",J12)</f>
        <v xml:space="preserve">     Entre 50 y 100 SMLMV </v>
      </c>
      <c r="L12" s="139" t="s">
        <v>227</v>
      </c>
      <c r="M12" s="143">
        <f t="shared" si="1"/>
        <v>0.6</v>
      </c>
      <c r="N12" s="142" t="str">
        <f t="shared" si="2"/>
        <v>Alto</v>
      </c>
      <c r="O12" s="123">
        <v>1</v>
      </c>
      <c r="P12" s="145" t="s">
        <v>222</v>
      </c>
      <c r="Q12" s="125" t="str">
        <f t="shared" si="3"/>
        <v>Probabilidad</v>
      </c>
      <c r="R12" s="126" t="s">
        <v>15</v>
      </c>
      <c r="S12" s="126" t="s">
        <v>9</v>
      </c>
      <c r="T12" s="127" t="str">
        <f t="shared" si="4"/>
        <v>30%</v>
      </c>
      <c r="U12" s="126" t="s">
        <v>20</v>
      </c>
      <c r="V12" s="126" t="s">
        <v>22</v>
      </c>
      <c r="W12" s="126" t="s">
        <v>120</v>
      </c>
      <c r="X12" s="128">
        <f t="shared" si="5"/>
        <v>0.56000000000000005</v>
      </c>
      <c r="Y12" s="129" t="str">
        <f t="shared" si="6"/>
        <v>Media</v>
      </c>
      <c r="Z12" s="130">
        <f t="shared" si="7"/>
        <v>0.56000000000000005</v>
      </c>
      <c r="AA12" s="129" t="str">
        <f t="shared" si="8"/>
        <v>Moderado</v>
      </c>
      <c r="AB12" s="130">
        <f t="shared" si="9"/>
        <v>0.6</v>
      </c>
      <c r="AC12" s="131" t="str">
        <f t="shared" si="10"/>
        <v>Moderado</v>
      </c>
      <c r="AD12" s="132" t="s">
        <v>136</v>
      </c>
      <c r="AE12" s="145" t="s">
        <v>232</v>
      </c>
      <c r="AF12" s="146" t="s">
        <v>223</v>
      </c>
      <c r="AG12" s="146" t="s">
        <v>242</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240.75" customHeight="1" x14ac:dyDescent="0.3">
      <c r="A13" s="140">
        <v>4</v>
      </c>
      <c r="B13" s="137" t="s">
        <v>134</v>
      </c>
      <c r="C13" s="137"/>
      <c r="D13" s="137" t="s">
        <v>229</v>
      </c>
      <c r="E13" s="141" t="s">
        <v>244</v>
      </c>
      <c r="F13" s="137" t="s">
        <v>123</v>
      </c>
      <c r="G13" s="138" t="s">
        <v>226</v>
      </c>
      <c r="H13" s="139" t="s">
        <v>236</v>
      </c>
      <c r="I13" s="143">
        <v>0.2</v>
      </c>
      <c r="J13" s="144"/>
      <c r="K13" s="143">
        <f ca="1">IF(NOT(ISERROR(MATCH(J13,'Tabla Impacto'!$B$221:$B$223,0))),'Tabla Impacto'!$F$223&amp;"Por favor no seleccionar los criterios de impacto(Afectación Económica o presupuestal y Pérdida Reputacional)",J13)</f>
        <v>0</v>
      </c>
      <c r="L13" s="139" t="s">
        <v>237</v>
      </c>
      <c r="M13" s="143">
        <f t="shared" si="1"/>
        <v>0.4</v>
      </c>
      <c r="N13" s="142" t="str">
        <f t="shared" si="2"/>
        <v>Moderado</v>
      </c>
      <c r="O13" s="123">
        <v>1</v>
      </c>
      <c r="P13" s="145" t="s">
        <v>222</v>
      </c>
      <c r="Q13" s="125" t="str">
        <f t="shared" si="3"/>
        <v>Probabilidad</v>
      </c>
      <c r="R13" s="126" t="s">
        <v>14</v>
      </c>
      <c r="S13" s="126" t="s">
        <v>9</v>
      </c>
      <c r="T13" s="127" t="str">
        <f t="shared" si="4"/>
        <v>40%</v>
      </c>
      <c r="U13" s="126" t="s">
        <v>19</v>
      </c>
      <c r="V13" s="126" t="s">
        <v>22</v>
      </c>
      <c r="W13" s="126" t="s">
        <v>119</v>
      </c>
      <c r="X13" s="128">
        <f t="shared" si="5"/>
        <v>0.12</v>
      </c>
      <c r="Y13" s="129" t="str">
        <f t="shared" si="6"/>
        <v>Muy Baja</v>
      </c>
      <c r="Z13" s="130">
        <f t="shared" si="7"/>
        <v>0.12</v>
      </c>
      <c r="AA13" s="129" t="str">
        <f t="shared" si="8"/>
        <v>Menor</v>
      </c>
      <c r="AB13" s="130">
        <f t="shared" si="9"/>
        <v>0.4</v>
      </c>
      <c r="AC13" s="131" t="str">
        <f t="shared" si="10"/>
        <v>Bajo</v>
      </c>
      <c r="AD13" s="132" t="s">
        <v>136</v>
      </c>
      <c r="AE13" s="147" t="s">
        <v>233</v>
      </c>
      <c r="AF13" s="146" t="s">
        <v>223</v>
      </c>
      <c r="AG13" s="146" t="s">
        <v>242</v>
      </c>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240.75" customHeight="1" x14ac:dyDescent="0.3">
      <c r="A14" s="140">
        <v>5</v>
      </c>
      <c r="B14" s="137" t="s">
        <v>132</v>
      </c>
      <c r="C14" s="137"/>
      <c r="D14" s="137" t="s">
        <v>231</v>
      </c>
      <c r="E14" s="141" t="s">
        <v>230</v>
      </c>
      <c r="F14" s="137" t="s">
        <v>123</v>
      </c>
      <c r="G14" s="138" t="s">
        <v>226</v>
      </c>
      <c r="H14" s="139" t="s">
        <v>220</v>
      </c>
      <c r="I14" s="143">
        <f t="shared" si="0"/>
        <v>0.8</v>
      </c>
      <c r="J14" s="144"/>
      <c r="K14" s="143">
        <f ca="1">IF(NOT(ISERROR(MATCH(J14,'Tabla Impacto'!$B$221:$B$223,0))),'Tabla Impacto'!$F$223&amp;"Por favor no seleccionar los criterios de impacto(Afectación Económica o presupuestal y Pérdida Reputacional)",J14)</f>
        <v>0</v>
      </c>
      <c r="L14" s="139" t="s">
        <v>221</v>
      </c>
      <c r="M14" s="143">
        <f t="shared" si="1"/>
        <v>0.8</v>
      </c>
      <c r="N14" s="142" t="str">
        <f t="shared" si="2"/>
        <v>Alto</v>
      </c>
      <c r="O14" s="123">
        <v>1</v>
      </c>
      <c r="P14" s="145" t="s">
        <v>222</v>
      </c>
      <c r="Q14" s="125" t="str">
        <f t="shared" si="3"/>
        <v>Impacto</v>
      </c>
      <c r="R14" s="126" t="s">
        <v>16</v>
      </c>
      <c r="S14" s="126" t="s">
        <v>9</v>
      </c>
      <c r="T14" s="127" t="str">
        <f t="shared" si="4"/>
        <v>25%</v>
      </c>
      <c r="U14" s="126" t="s">
        <v>19</v>
      </c>
      <c r="V14" s="126" t="s">
        <v>22</v>
      </c>
      <c r="W14" s="126" t="s">
        <v>119</v>
      </c>
      <c r="X14" s="128">
        <f t="shared" si="5"/>
        <v>0.8</v>
      </c>
      <c r="Y14" s="129" t="str">
        <f t="shared" si="6"/>
        <v>Alta</v>
      </c>
      <c r="Z14" s="130">
        <f t="shared" si="7"/>
        <v>0.8</v>
      </c>
      <c r="AA14" s="129" t="str">
        <f t="shared" si="8"/>
        <v>Moderado</v>
      </c>
      <c r="AB14" s="130">
        <f t="shared" si="9"/>
        <v>0.60000000000000009</v>
      </c>
      <c r="AC14" s="131" t="str">
        <f t="shared" si="10"/>
        <v>Alto</v>
      </c>
      <c r="AD14" s="132" t="s">
        <v>136</v>
      </c>
      <c r="AE14" s="145" t="s">
        <v>232</v>
      </c>
      <c r="AF14" s="146" t="s">
        <v>223</v>
      </c>
      <c r="AG14" s="146" t="s">
        <v>242</v>
      </c>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63.5" customHeight="1" x14ac:dyDescent="0.3">
      <c r="A15" s="140">
        <v>6</v>
      </c>
      <c r="B15" s="137" t="s">
        <v>132</v>
      </c>
      <c r="C15" s="137"/>
      <c r="D15" s="137" t="s">
        <v>235</v>
      </c>
      <c r="E15" s="149" t="s">
        <v>234</v>
      </c>
      <c r="F15" s="137" t="s">
        <v>123</v>
      </c>
      <c r="G15" s="138" t="s">
        <v>218</v>
      </c>
      <c r="H15" s="139" t="s">
        <v>236</v>
      </c>
      <c r="I15" s="143">
        <f>IF(H15="","",IF(H15="Muy Baja",0.2,IF(H15="Baja",0.4,IF(H15="Media",0.6,IF(H15="Alta",0.8,IF(H15="Muy Alta",1,))))))</f>
        <v>0.4</v>
      </c>
      <c r="J15" s="144"/>
      <c r="K15" s="143">
        <f ca="1">IF(NOT(ISERROR(MATCH(J15,'Tabla Impacto'!$B$221:$B$223,0))),'Tabla Impacto'!$F$223&amp;"Por favor no seleccionar los criterios de impacto(Afectación Económica o presupuestal y Pérdida Reputacional)",J15)</f>
        <v>0</v>
      </c>
      <c r="L15" s="139" t="s">
        <v>237</v>
      </c>
      <c r="M15" s="143">
        <f t="shared" si="1"/>
        <v>0.4</v>
      </c>
      <c r="N15" s="142" t="str">
        <f t="shared" si="2"/>
        <v>Moderado</v>
      </c>
      <c r="O15" s="123">
        <v>1</v>
      </c>
      <c r="P15" s="145" t="s">
        <v>222</v>
      </c>
      <c r="Q15" s="125" t="str">
        <f t="shared" si="3"/>
        <v>Probabilidad</v>
      </c>
      <c r="R15" s="126" t="s">
        <v>15</v>
      </c>
      <c r="S15" s="126" t="s">
        <v>9</v>
      </c>
      <c r="T15" s="127" t="str">
        <f t="shared" si="4"/>
        <v>30%</v>
      </c>
      <c r="U15" s="126" t="s">
        <v>19</v>
      </c>
      <c r="V15" s="126" t="s">
        <v>22</v>
      </c>
      <c r="W15" s="126" t="s">
        <v>119</v>
      </c>
      <c r="X15" s="128">
        <f t="shared" si="5"/>
        <v>0.28000000000000003</v>
      </c>
      <c r="Y15" s="129" t="str">
        <f t="shared" si="6"/>
        <v>Baja</v>
      </c>
      <c r="Z15" s="130">
        <f t="shared" si="7"/>
        <v>0.28000000000000003</v>
      </c>
      <c r="AA15" s="129" t="str">
        <f t="shared" si="8"/>
        <v>Menor</v>
      </c>
      <c r="AB15" s="130">
        <f t="shared" si="9"/>
        <v>0.4</v>
      </c>
      <c r="AC15" s="131" t="str">
        <f t="shared" si="10"/>
        <v>Moderado</v>
      </c>
      <c r="AD15" s="132" t="s">
        <v>136</v>
      </c>
      <c r="AE15" s="145" t="s">
        <v>238</v>
      </c>
      <c r="AF15" s="146" t="s">
        <v>223</v>
      </c>
      <c r="AG15" s="146" t="s">
        <v>242</v>
      </c>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201" customHeight="1" x14ac:dyDescent="0.3">
      <c r="A16" s="140">
        <v>7</v>
      </c>
      <c r="B16" s="137" t="s">
        <v>132</v>
      </c>
      <c r="C16" s="137"/>
      <c r="D16" s="148" t="s">
        <v>240</v>
      </c>
      <c r="E16" s="149" t="s">
        <v>239</v>
      </c>
      <c r="F16" s="137" t="s">
        <v>123</v>
      </c>
      <c r="G16" s="138" t="s">
        <v>218</v>
      </c>
      <c r="H16" s="139" t="s">
        <v>219</v>
      </c>
      <c r="I16" s="143">
        <f t="shared" si="0"/>
        <v>0.6</v>
      </c>
      <c r="J16" s="144"/>
      <c r="K16" s="143">
        <f ca="1">IF(NOT(ISERROR(MATCH(J16,'Tabla Impacto'!$B$221:$B$223,0))),'Tabla Impacto'!$F$223&amp;"Por favor no seleccionar los criterios de impacto(Afectación Económica o presupuestal y Pérdida Reputacional)",J16)</f>
        <v>0</v>
      </c>
      <c r="L16" s="139" t="s">
        <v>227</v>
      </c>
      <c r="M16" s="143">
        <f t="shared" si="1"/>
        <v>0.6</v>
      </c>
      <c r="N16" s="142" t="str">
        <f t="shared" si="2"/>
        <v>Moderado</v>
      </c>
      <c r="O16" s="123">
        <v>1</v>
      </c>
      <c r="P16" s="145" t="s">
        <v>222</v>
      </c>
      <c r="Q16" s="125" t="str">
        <f t="shared" si="3"/>
        <v>Impacto</v>
      </c>
      <c r="R16" s="126" t="s">
        <v>16</v>
      </c>
      <c r="S16" s="126" t="s">
        <v>9</v>
      </c>
      <c r="T16" s="127" t="str">
        <f t="shared" si="4"/>
        <v>25%</v>
      </c>
      <c r="U16" s="126" t="s">
        <v>20</v>
      </c>
      <c r="V16" s="126" t="s">
        <v>22</v>
      </c>
      <c r="W16" s="126" t="s">
        <v>120</v>
      </c>
      <c r="X16" s="128">
        <f t="shared" si="5"/>
        <v>0.6</v>
      </c>
      <c r="Y16" s="129" t="str">
        <f t="shared" si="6"/>
        <v>Media</v>
      </c>
      <c r="Z16" s="130">
        <f t="shared" si="7"/>
        <v>0.6</v>
      </c>
      <c r="AA16" s="129" t="str">
        <f t="shared" si="8"/>
        <v>Moderado</v>
      </c>
      <c r="AB16" s="130">
        <f t="shared" si="9"/>
        <v>0.44999999999999996</v>
      </c>
      <c r="AC16" s="131" t="str">
        <f t="shared" si="10"/>
        <v>Moderado</v>
      </c>
      <c r="AD16" s="132" t="s">
        <v>136</v>
      </c>
      <c r="AE16" s="145" t="s">
        <v>232</v>
      </c>
      <c r="AF16" s="146" t="s">
        <v>223</v>
      </c>
      <c r="AG16" s="146" t="s">
        <v>241</v>
      </c>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03">
        <v>8</v>
      </c>
      <c r="B17" s="206"/>
      <c r="C17" s="206"/>
      <c r="D17" s="206"/>
      <c r="E17" s="209"/>
      <c r="F17" s="206"/>
      <c r="G17" s="212"/>
      <c r="H17" s="215" t="str">
        <f>IF(G17&lt;=0,"",IF(G17&lt;=2,"Muy Baja",IF(G17&lt;=24,"Baja",IF(G17&lt;=500,"Media",IF(G17&lt;=5000,"Alta","Muy Alta")))))</f>
        <v/>
      </c>
      <c r="I17" s="218" t="str">
        <f t="shared" si="0"/>
        <v/>
      </c>
      <c r="J17" s="221"/>
      <c r="K17" s="218">
        <f ca="1">IF(NOT(ISERROR(MATCH(J17,'Tabla Impacto'!$B$221:$B$223,0))),'Tabla Impacto'!$F$223&amp;"Por favor no seleccionar los criterios de impacto(Afectación Económica o presupuestal y Pérdida Reputacional)",J17)</f>
        <v>0</v>
      </c>
      <c r="L17" s="215" t="str">
        <f ca="1">IF(OR(K17='Tabla Impacto'!$C$11,K17='Tabla Impacto'!$D$11),"Leve",IF(OR(K17='Tabla Impacto'!$C$12,K17='Tabla Impacto'!$D$12),"Menor",IF(OR(K17='Tabla Impacto'!$C$13,K17='Tabla Impacto'!$D$13),"Moderado",IF(OR(K17='Tabla Impacto'!$C$14,K17='Tabla Impacto'!$D$14),"Mayor",IF(OR(K17='Tabla Impacto'!$C$15,K17='Tabla Impacto'!$D$15),"Catastrófico","")))))</f>
        <v/>
      </c>
      <c r="M17" s="218" t="str">
        <f t="shared" ca="1" si="1"/>
        <v/>
      </c>
      <c r="N17" s="224" t="str">
        <f t="shared" ca="1" si="2"/>
        <v/>
      </c>
      <c r="O17" s="123">
        <v>1</v>
      </c>
      <c r="P17" s="124"/>
      <c r="Q17" s="125" t="str">
        <f t="shared" si="3"/>
        <v/>
      </c>
      <c r="R17" s="126"/>
      <c r="S17" s="126"/>
      <c r="T17" s="127" t="str">
        <f t="shared" si="4"/>
        <v/>
      </c>
      <c r="U17" s="126"/>
      <c r="V17" s="126"/>
      <c r="W17" s="126"/>
      <c r="X17" s="128" t="str">
        <f t="shared" si="5"/>
        <v/>
      </c>
      <c r="Y17" s="129" t="str">
        <f t="shared" si="6"/>
        <v/>
      </c>
      <c r="Z17" s="130" t="str">
        <f t="shared" si="7"/>
        <v/>
      </c>
      <c r="AA17" s="129" t="str">
        <f t="shared" si="8"/>
        <v/>
      </c>
      <c r="AB17" s="130" t="str">
        <f t="shared" si="9"/>
        <v/>
      </c>
      <c r="AC17" s="131" t="str">
        <f t="shared" si="10"/>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04"/>
      <c r="B18" s="207"/>
      <c r="C18" s="207"/>
      <c r="D18" s="207"/>
      <c r="E18" s="210"/>
      <c r="F18" s="207"/>
      <c r="G18" s="213"/>
      <c r="H18" s="216"/>
      <c r="I18" s="219"/>
      <c r="J18" s="222"/>
      <c r="K18" s="219">
        <f ca="1">IF(NOT(ISERROR(MATCH(J18,_xlfn.ANCHORARRAY(E29),0))),I31&amp;"Por favor no seleccionar los criterios de impacto",J18)</f>
        <v>0</v>
      </c>
      <c r="L18" s="216"/>
      <c r="M18" s="219"/>
      <c r="N18" s="225"/>
      <c r="O18" s="123">
        <v>2</v>
      </c>
      <c r="P18" s="124"/>
      <c r="Q18" s="125" t="str">
        <f t="shared" si="3"/>
        <v/>
      </c>
      <c r="R18" s="126"/>
      <c r="S18" s="126"/>
      <c r="T18" s="127" t="str">
        <f t="shared" ref="T18:T22" si="11">IF(AND(R18="Preventivo",S18="Automático"),"50%",IF(AND(R18="Preventivo",S18="Manual"),"40%",IF(AND(R18="Detectivo",S18="Automático"),"40%",IF(AND(R18="Detectivo",S18="Manual"),"30%",IF(AND(R18="Correctivo",S18="Automático"),"35%",IF(AND(R18="Correctivo",S18="Manual"),"25%",""))))))</f>
        <v/>
      </c>
      <c r="U18" s="126"/>
      <c r="V18" s="126"/>
      <c r="W18" s="126"/>
      <c r="X18" s="128" t="str">
        <f>IFERROR(IF(AND(Q17="Probabilidad",Q18="Probabilidad"),(Z17-(+Z17*T18)),IF(Q18="Probabilidad",(I17-(+I17*T18)),IF(Q18="Impacto",Z17,""))),"")</f>
        <v/>
      </c>
      <c r="Y18" s="129" t="str">
        <f t="shared" ref="Y18:Y34" si="12">IFERROR(IF(X18="","",IF(X18&lt;=0.2,"Muy Baja",IF(X18&lt;=0.4,"Baja",IF(X18&lt;=0.6,"Media",IF(X18&lt;=0.8,"Alta","Muy Alta"))))),"")</f>
        <v/>
      </c>
      <c r="Z18" s="130" t="str">
        <f t="shared" ref="Z18:Z22" si="13">+X18</f>
        <v/>
      </c>
      <c r="AA18" s="129" t="str">
        <f t="shared" ref="AA18:AA34" si="14">IFERROR(IF(AB18="","",IF(AB18&lt;=0.2,"Leve",IF(AB18&lt;=0.4,"Menor",IF(AB18&lt;=0.6,"Moderado",IF(AB18&lt;=0.8,"Mayor","Catastrófico"))))),"")</f>
        <v/>
      </c>
      <c r="AB18" s="130" t="str">
        <f>IFERROR(IF(AND(Q17="Impacto",Q18="Impacto"),(AB17-(+AB17*T18)),IF(Q18="Impacto",(M17-(+M17*T18)),IF(Q18="Probabilidad",AB17,""))),"")</f>
        <v/>
      </c>
      <c r="AC18" s="131" t="str">
        <f t="shared" ref="AC18:AC19" si="15">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04"/>
      <c r="B19" s="207"/>
      <c r="C19" s="207"/>
      <c r="D19" s="207"/>
      <c r="E19" s="210"/>
      <c r="F19" s="207"/>
      <c r="G19" s="213"/>
      <c r="H19" s="216"/>
      <c r="I19" s="219"/>
      <c r="J19" s="222"/>
      <c r="K19" s="219">
        <f ca="1">IF(NOT(ISERROR(MATCH(J19,_xlfn.ANCHORARRAY(E30),0))),I32&amp;"Por favor no seleccionar los criterios de impacto",J19)</f>
        <v>0</v>
      </c>
      <c r="L19" s="216"/>
      <c r="M19" s="219"/>
      <c r="N19" s="225"/>
      <c r="O19" s="123">
        <v>3</v>
      </c>
      <c r="P19" s="136"/>
      <c r="Q19" s="125" t="str">
        <f t="shared" si="3"/>
        <v/>
      </c>
      <c r="R19" s="126"/>
      <c r="S19" s="126"/>
      <c r="T19" s="127" t="str">
        <f t="shared" si="11"/>
        <v/>
      </c>
      <c r="U19" s="126"/>
      <c r="V19" s="126"/>
      <c r="W19" s="126"/>
      <c r="X19" s="128" t="str">
        <f>IFERROR(IF(AND(Q18="Probabilidad",Q19="Probabilidad"),(Z18-(+Z18*T19)),IF(AND(Q18="Impacto",Q19="Probabilidad"),(Z17-(+Z17*T19)),IF(Q19="Impacto",Z18,""))),"")</f>
        <v/>
      </c>
      <c r="Y19" s="129" t="str">
        <f t="shared" si="12"/>
        <v/>
      </c>
      <c r="Z19" s="130" t="str">
        <f t="shared" si="13"/>
        <v/>
      </c>
      <c r="AA19" s="129" t="str">
        <f t="shared" si="14"/>
        <v/>
      </c>
      <c r="AB19" s="130" t="str">
        <f>IFERROR(IF(AND(Q18="Impacto",Q19="Impacto"),(AB18-(+AB18*T19)),IF(AND(Q18="Probabilidad",Q19="Impacto"),(AB17-(+AB17*T19)),IF(Q19="Probabilidad",AB18,""))),"")</f>
        <v/>
      </c>
      <c r="AC19" s="131" t="str">
        <f t="shared" si="15"/>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04"/>
      <c r="B20" s="207"/>
      <c r="C20" s="207"/>
      <c r="D20" s="207"/>
      <c r="E20" s="210"/>
      <c r="F20" s="207"/>
      <c r="G20" s="213"/>
      <c r="H20" s="216"/>
      <c r="I20" s="219"/>
      <c r="J20" s="222"/>
      <c r="K20" s="219">
        <f ca="1">IF(NOT(ISERROR(MATCH(J20,_xlfn.ANCHORARRAY(E31),0))),I33&amp;"Por favor no seleccionar los criterios de impacto",J20)</f>
        <v>0</v>
      </c>
      <c r="L20" s="216"/>
      <c r="M20" s="219"/>
      <c r="N20" s="225"/>
      <c r="O20" s="123">
        <v>4</v>
      </c>
      <c r="P20" s="124"/>
      <c r="Q20" s="125" t="str">
        <f t="shared" ref="Q20:Q22" si="16">IF(OR(R20="Preventivo",R20="Detectivo"),"Probabilidad",IF(R20="Correctivo","Impacto",""))</f>
        <v/>
      </c>
      <c r="R20" s="126"/>
      <c r="S20" s="126"/>
      <c r="T20" s="127" t="str">
        <f t="shared" si="11"/>
        <v/>
      </c>
      <c r="U20" s="126"/>
      <c r="V20" s="126"/>
      <c r="W20" s="126"/>
      <c r="X20" s="128" t="str">
        <f t="shared" ref="X20:X22" si="17">IFERROR(IF(AND(Q19="Probabilidad",Q20="Probabilidad"),(Z19-(+Z19*T20)),IF(AND(Q19="Impacto",Q20="Probabilidad"),(Z18-(+Z18*T20)),IF(Q20="Impacto",Z19,""))),"")</f>
        <v/>
      </c>
      <c r="Y20" s="129" t="str">
        <f t="shared" si="12"/>
        <v/>
      </c>
      <c r="Z20" s="130" t="str">
        <f t="shared" si="13"/>
        <v/>
      </c>
      <c r="AA20" s="129" t="str">
        <f t="shared" si="14"/>
        <v/>
      </c>
      <c r="AB20" s="130" t="str">
        <f t="shared" ref="AB20:AB22" si="18">IFERROR(IF(AND(Q19="Impacto",Q20="Impacto"),(AB19-(+AB19*T20)),IF(AND(Q19="Probabilidad",Q20="Impacto"),(AB18-(+AB18*T20)),IF(Q20="Probabilidad",AB19,""))),"")</f>
        <v/>
      </c>
      <c r="AC20" s="131"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04"/>
      <c r="B21" s="207"/>
      <c r="C21" s="207"/>
      <c r="D21" s="207"/>
      <c r="E21" s="210"/>
      <c r="F21" s="207"/>
      <c r="G21" s="213"/>
      <c r="H21" s="216"/>
      <c r="I21" s="219"/>
      <c r="J21" s="222"/>
      <c r="K21" s="219">
        <f ca="1">IF(NOT(ISERROR(MATCH(J21,_xlfn.ANCHORARRAY(E32),0))),I34&amp;"Por favor no seleccionar los criterios de impacto",J21)</f>
        <v>0</v>
      </c>
      <c r="L21" s="216"/>
      <c r="M21" s="219"/>
      <c r="N21" s="225"/>
      <c r="O21" s="123">
        <v>5</v>
      </c>
      <c r="P21" s="124"/>
      <c r="Q21" s="125" t="str">
        <f t="shared" si="16"/>
        <v/>
      </c>
      <c r="R21" s="126"/>
      <c r="S21" s="126"/>
      <c r="T21" s="127" t="str">
        <f t="shared" si="11"/>
        <v/>
      </c>
      <c r="U21" s="126"/>
      <c r="V21" s="126"/>
      <c r="W21" s="126"/>
      <c r="X21" s="128" t="str">
        <f t="shared" si="17"/>
        <v/>
      </c>
      <c r="Y21" s="129" t="str">
        <f t="shared" si="12"/>
        <v/>
      </c>
      <c r="Z21" s="130" t="str">
        <f t="shared" si="13"/>
        <v/>
      </c>
      <c r="AA21" s="129" t="str">
        <f t="shared" si="14"/>
        <v/>
      </c>
      <c r="AB21" s="130" t="str">
        <f t="shared" si="18"/>
        <v/>
      </c>
      <c r="AC21" s="131" t="str">
        <f t="shared" ref="AC21:AC22" si="19">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05"/>
      <c r="B22" s="208"/>
      <c r="C22" s="208"/>
      <c r="D22" s="208"/>
      <c r="E22" s="211"/>
      <c r="F22" s="208"/>
      <c r="G22" s="214"/>
      <c r="H22" s="217"/>
      <c r="I22" s="220"/>
      <c r="J22" s="223"/>
      <c r="K22" s="220">
        <f ca="1">IF(NOT(ISERROR(MATCH(J22,_xlfn.ANCHORARRAY(E33),0))),I35&amp;"Por favor no seleccionar los criterios de impacto",J22)</f>
        <v>0</v>
      </c>
      <c r="L22" s="217"/>
      <c r="M22" s="220"/>
      <c r="N22" s="226"/>
      <c r="O22" s="123">
        <v>6</v>
      </c>
      <c r="P22" s="124"/>
      <c r="Q22" s="125" t="str">
        <f t="shared" si="16"/>
        <v/>
      </c>
      <c r="R22" s="126"/>
      <c r="S22" s="126"/>
      <c r="T22" s="127" t="str">
        <f t="shared" si="11"/>
        <v/>
      </c>
      <c r="U22" s="126"/>
      <c r="V22" s="126"/>
      <c r="W22" s="126"/>
      <c r="X22" s="128" t="str">
        <f t="shared" si="17"/>
        <v/>
      </c>
      <c r="Y22" s="129" t="str">
        <f t="shared" si="12"/>
        <v/>
      </c>
      <c r="Z22" s="130" t="str">
        <f t="shared" si="13"/>
        <v/>
      </c>
      <c r="AA22" s="129" t="str">
        <f t="shared" si="14"/>
        <v/>
      </c>
      <c r="AB22" s="130" t="str">
        <f t="shared" si="18"/>
        <v/>
      </c>
      <c r="AC22" s="131" t="str">
        <f t="shared" si="19"/>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03">
        <v>9</v>
      </c>
      <c r="B23" s="206"/>
      <c r="C23" s="206"/>
      <c r="D23" s="206"/>
      <c r="E23" s="209"/>
      <c r="F23" s="206"/>
      <c r="G23" s="212"/>
      <c r="H23" s="215" t="str">
        <f>IF(G23&lt;=0,"",IF(G23&lt;=2,"Muy Baja",IF(G23&lt;=24,"Baja",IF(G23&lt;=500,"Media",IF(G23&lt;=5000,"Alta","Muy Alta")))))</f>
        <v/>
      </c>
      <c r="I23" s="218" t="str">
        <f>IF(H23="","",IF(H23="Muy Baja",0.2,IF(H23="Baja",0.4,IF(H23="Media",0.6,IF(H23="Alta",0.8,IF(H23="Muy Alta",1,))))))</f>
        <v/>
      </c>
      <c r="J23" s="221"/>
      <c r="K23" s="218">
        <f ca="1">IF(NOT(ISERROR(MATCH(J23,'Tabla Impacto'!$B$221:$B$223,0))),'Tabla Impacto'!$F$223&amp;"Por favor no seleccionar los criterios de impacto(Afectación Económica o presupuestal y Pérdida Reputacional)",J23)</f>
        <v>0</v>
      </c>
      <c r="L23" s="215" t="str">
        <f ca="1">IF(OR(K23='Tabla Impacto'!$C$11,K23='Tabla Impacto'!$D$11),"Leve",IF(OR(K23='Tabla Impacto'!$C$12,K23='Tabla Impacto'!$D$12),"Menor",IF(OR(K23='Tabla Impacto'!$C$13,K23='Tabla Impacto'!$D$13),"Moderado",IF(OR(K23='Tabla Impacto'!$C$14,K23='Tabla Impacto'!$D$14),"Mayor",IF(OR(K23='Tabla Impacto'!$C$15,K23='Tabla Impacto'!$D$15),"Catastrófico","")))))</f>
        <v/>
      </c>
      <c r="M23" s="218" t="str">
        <f ca="1">IF(L23="","",IF(L23="Leve",0.2,IF(L23="Menor",0.4,IF(L23="Moderado",0.6,IF(L23="Mayor",0.8,IF(L23="Catastrófico",1,))))))</f>
        <v/>
      </c>
      <c r="N23" s="224" t="str">
        <f ca="1">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
      </c>
      <c r="O23" s="123">
        <v>1</v>
      </c>
      <c r="P23" s="124"/>
      <c r="Q23" s="125" t="str">
        <f>IF(OR(R23="Preventivo",R23="Detectivo"),"Probabilidad",IF(R23="Correctivo","Impacto",""))</f>
        <v/>
      </c>
      <c r="R23" s="126"/>
      <c r="S23" s="126"/>
      <c r="T23" s="127" t="str">
        <f>IF(AND(R23="Preventivo",S23="Automático"),"50%",IF(AND(R23="Preventivo",S23="Manual"),"40%",IF(AND(R23="Detectivo",S23="Automático"),"40%",IF(AND(R23="Detectivo",S23="Manual"),"30%",IF(AND(R23="Correctivo",S23="Automático"),"35%",IF(AND(R23="Correctivo",S23="Manual"),"25%",""))))))</f>
        <v/>
      </c>
      <c r="U23" s="126"/>
      <c r="V23" s="126"/>
      <c r="W23" s="126"/>
      <c r="X23" s="128" t="str">
        <f>IFERROR(IF(Q23="Probabilidad",(I23-(+I23*T23)),IF(Q23="Impacto",I23,"")),"")</f>
        <v/>
      </c>
      <c r="Y23" s="129" t="str">
        <f>IFERROR(IF(X23="","",IF(X23&lt;=0.2,"Muy Baja",IF(X23&lt;=0.4,"Baja",IF(X23&lt;=0.6,"Media",IF(X23&lt;=0.8,"Alta","Muy Alta"))))),"")</f>
        <v/>
      </c>
      <c r="Z23" s="130" t="str">
        <f>+X23</f>
        <v/>
      </c>
      <c r="AA23" s="129" t="str">
        <f>IFERROR(IF(AB23="","",IF(AB23&lt;=0.2,"Leve",IF(AB23&lt;=0.4,"Menor",IF(AB23&lt;=0.6,"Moderado",IF(AB23&lt;=0.8,"Mayor","Catastrófico"))))),"")</f>
        <v/>
      </c>
      <c r="AB23" s="130" t="str">
        <f>IFERROR(IF(Q23="Impacto",(M23-(+M23*T23)),IF(Q23="Probabilidad",M23,"")),"")</f>
        <v/>
      </c>
      <c r="AC23" s="131"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04"/>
      <c r="B24" s="207"/>
      <c r="C24" s="207"/>
      <c r="D24" s="207"/>
      <c r="E24" s="210"/>
      <c r="F24" s="207"/>
      <c r="G24" s="213"/>
      <c r="H24" s="216"/>
      <c r="I24" s="219"/>
      <c r="J24" s="222"/>
      <c r="K24" s="219">
        <f ca="1">IF(NOT(ISERROR(MATCH(J24,_xlfn.ANCHORARRAY(E35),0))),I37&amp;"Por favor no seleccionar los criterios de impacto",J24)</f>
        <v>0</v>
      </c>
      <c r="L24" s="216"/>
      <c r="M24" s="219"/>
      <c r="N24" s="225"/>
      <c r="O24" s="123">
        <v>2</v>
      </c>
      <c r="P24" s="124"/>
      <c r="Q24" s="125" t="str">
        <f>IF(OR(R24="Preventivo",R24="Detectivo"),"Probabilidad",IF(R24="Correctivo","Impacto",""))</f>
        <v/>
      </c>
      <c r="R24" s="126"/>
      <c r="S24" s="126"/>
      <c r="T24" s="127" t="str">
        <f t="shared" ref="T24:T28" si="20">IF(AND(R24="Preventivo",S24="Automático"),"50%",IF(AND(R24="Preventivo",S24="Manual"),"40%",IF(AND(R24="Detectivo",S24="Automático"),"40%",IF(AND(R24="Detectivo",S24="Manual"),"30%",IF(AND(R24="Correctivo",S24="Automático"),"35%",IF(AND(R24="Correctivo",S24="Manual"),"25%",""))))))</f>
        <v/>
      </c>
      <c r="U24" s="126"/>
      <c r="V24" s="126"/>
      <c r="W24" s="126"/>
      <c r="X24" s="128" t="str">
        <f>IFERROR(IF(AND(Q23="Probabilidad",Q24="Probabilidad"),(Z23-(+Z23*T24)),IF(Q24="Probabilidad",(I23-(+I23*T24)),IF(Q24="Impacto",Z23,""))),"")</f>
        <v/>
      </c>
      <c r="Y24" s="129" t="str">
        <f t="shared" si="12"/>
        <v/>
      </c>
      <c r="Z24" s="130" t="str">
        <f t="shared" ref="Z24:Z28" si="21">+X24</f>
        <v/>
      </c>
      <c r="AA24" s="129" t="str">
        <f t="shared" si="14"/>
        <v/>
      </c>
      <c r="AB24" s="130" t="str">
        <f>IFERROR(IF(AND(Q23="Impacto",Q24="Impacto"),(AB23-(+AB23*T24)),IF(Q24="Impacto",(M23-(+M23*T24)),IF(Q24="Probabilidad",AB23,""))),"")</f>
        <v/>
      </c>
      <c r="AC24" s="131" t="str">
        <f t="shared" ref="AC24:AC25" si="22">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04"/>
      <c r="B25" s="207"/>
      <c r="C25" s="207"/>
      <c r="D25" s="207"/>
      <c r="E25" s="210"/>
      <c r="F25" s="207"/>
      <c r="G25" s="213"/>
      <c r="H25" s="216"/>
      <c r="I25" s="219"/>
      <c r="J25" s="222"/>
      <c r="K25" s="219">
        <f ca="1">IF(NOT(ISERROR(MATCH(J25,_xlfn.ANCHORARRAY(E36),0))),I38&amp;"Por favor no seleccionar los criterios de impacto",J25)</f>
        <v>0</v>
      </c>
      <c r="L25" s="216"/>
      <c r="M25" s="219"/>
      <c r="N25" s="225"/>
      <c r="O25" s="123">
        <v>3</v>
      </c>
      <c r="P25" s="136"/>
      <c r="Q25" s="125" t="str">
        <f>IF(OR(R25="Preventivo",R25="Detectivo"),"Probabilidad",IF(R25="Correctivo","Impacto",""))</f>
        <v/>
      </c>
      <c r="R25" s="126"/>
      <c r="S25" s="126"/>
      <c r="T25" s="127" t="str">
        <f t="shared" si="20"/>
        <v/>
      </c>
      <c r="U25" s="126"/>
      <c r="V25" s="126"/>
      <c r="W25" s="126"/>
      <c r="X25" s="128" t="str">
        <f>IFERROR(IF(AND(Q24="Probabilidad",Q25="Probabilidad"),(Z24-(+Z24*T25)),IF(AND(Q24="Impacto",Q25="Probabilidad"),(Z23-(+Z23*T25)),IF(Q25="Impacto",Z24,""))),"")</f>
        <v/>
      </c>
      <c r="Y25" s="129" t="str">
        <f t="shared" si="12"/>
        <v/>
      </c>
      <c r="Z25" s="130" t="str">
        <f t="shared" si="21"/>
        <v/>
      </c>
      <c r="AA25" s="129" t="str">
        <f t="shared" si="14"/>
        <v/>
      </c>
      <c r="AB25" s="130" t="str">
        <f>IFERROR(IF(AND(Q24="Impacto",Q25="Impacto"),(AB24-(+AB24*T25)),IF(AND(Q24="Probabilidad",Q25="Impacto"),(AB23-(+AB23*T25)),IF(Q25="Probabilidad",AB24,""))),"")</f>
        <v/>
      </c>
      <c r="AC25" s="131" t="str">
        <f t="shared" si="22"/>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04"/>
      <c r="B26" s="207"/>
      <c r="C26" s="207"/>
      <c r="D26" s="207"/>
      <c r="E26" s="210"/>
      <c r="F26" s="207"/>
      <c r="G26" s="213"/>
      <c r="H26" s="216"/>
      <c r="I26" s="219"/>
      <c r="J26" s="222"/>
      <c r="K26" s="219">
        <f ca="1">IF(NOT(ISERROR(MATCH(J26,_xlfn.ANCHORARRAY(E37),0))),I39&amp;"Por favor no seleccionar los criterios de impacto",J26)</f>
        <v>0</v>
      </c>
      <c r="L26" s="216"/>
      <c r="M26" s="219"/>
      <c r="N26" s="225"/>
      <c r="O26" s="123">
        <v>4</v>
      </c>
      <c r="P26" s="124"/>
      <c r="Q26" s="125" t="str">
        <f t="shared" ref="Q26:Q28" si="23">IF(OR(R26="Preventivo",R26="Detectivo"),"Probabilidad",IF(R26="Correctivo","Impacto",""))</f>
        <v/>
      </c>
      <c r="R26" s="126"/>
      <c r="S26" s="126"/>
      <c r="T26" s="127" t="str">
        <f t="shared" si="20"/>
        <v/>
      </c>
      <c r="U26" s="126"/>
      <c r="V26" s="126"/>
      <c r="W26" s="126"/>
      <c r="X26" s="128" t="str">
        <f t="shared" ref="X26:X28" si="24">IFERROR(IF(AND(Q25="Probabilidad",Q26="Probabilidad"),(Z25-(+Z25*T26)),IF(AND(Q25="Impacto",Q26="Probabilidad"),(Z24-(+Z24*T26)),IF(Q26="Impacto",Z25,""))),"")</f>
        <v/>
      </c>
      <c r="Y26" s="129" t="str">
        <f t="shared" si="12"/>
        <v/>
      </c>
      <c r="Z26" s="130" t="str">
        <f t="shared" si="21"/>
        <v/>
      </c>
      <c r="AA26" s="129" t="str">
        <f t="shared" si="14"/>
        <v/>
      </c>
      <c r="AB26" s="130" t="str">
        <f t="shared" ref="AB26:AB28" si="25">IFERROR(IF(AND(Q25="Impacto",Q26="Impacto"),(AB25-(+AB25*T26)),IF(AND(Q25="Probabilidad",Q26="Impacto"),(AB24-(+AB24*T26)),IF(Q26="Probabilidad",AB25,""))),"")</f>
        <v/>
      </c>
      <c r="AC26" s="131"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04"/>
      <c r="B27" s="207"/>
      <c r="C27" s="207"/>
      <c r="D27" s="207"/>
      <c r="E27" s="210"/>
      <c r="F27" s="207"/>
      <c r="G27" s="213"/>
      <c r="H27" s="216"/>
      <c r="I27" s="219"/>
      <c r="J27" s="222"/>
      <c r="K27" s="219">
        <f ca="1">IF(NOT(ISERROR(MATCH(J27,_xlfn.ANCHORARRAY(E38),0))),I40&amp;"Por favor no seleccionar los criterios de impacto",J27)</f>
        <v>0</v>
      </c>
      <c r="L27" s="216"/>
      <c r="M27" s="219"/>
      <c r="N27" s="225"/>
      <c r="O27" s="123">
        <v>5</v>
      </c>
      <c r="P27" s="124"/>
      <c r="Q27" s="125" t="str">
        <f t="shared" si="23"/>
        <v/>
      </c>
      <c r="R27" s="126"/>
      <c r="S27" s="126"/>
      <c r="T27" s="127" t="str">
        <f t="shared" si="20"/>
        <v/>
      </c>
      <c r="U27" s="126"/>
      <c r="V27" s="126"/>
      <c r="W27" s="126"/>
      <c r="X27" s="128" t="str">
        <f t="shared" si="24"/>
        <v/>
      </c>
      <c r="Y27" s="129" t="str">
        <f t="shared" si="12"/>
        <v/>
      </c>
      <c r="Z27" s="130" t="str">
        <f t="shared" si="21"/>
        <v/>
      </c>
      <c r="AA27" s="129" t="str">
        <f t="shared" si="14"/>
        <v/>
      </c>
      <c r="AB27" s="130" t="str">
        <f t="shared" si="25"/>
        <v/>
      </c>
      <c r="AC27" s="131" t="str">
        <f t="shared" ref="AC27:AC28" si="26">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05"/>
      <c r="B28" s="208"/>
      <c r="C28" s="208"/>
      <c r="D28" s="208"/>
      <c r="E28" s="211"/>
      <c r="F28" s="208"/>
      <c r="G28" s="214"/>
      <c r="H28" s="217"/>
      <c r="I28" s="220"/>
      <c r="J28" s="223"/>
      <c r="K28" s="220">
        <f ca="1">IF(NOT(ISERROR(MATCH(J28,_xlfn.ANCHORARRAY(E39),0))),I41&amp;"Por favor no seleccionar los criterios de impacto",J28)</f>
        <v>0</v>
      </c>
      <c r="L28" s="217"/>
      <c r="M28" s="220"/>
      <c r="N28" s="226"/>
      <c r="O28" s="123">
        <v>6</v>
      </c>
      <c r="P28" s="124"/>
      <c r="Q28" s="125" t="str">
        <f t="shared" si="23"/>
        <v/>
      </c>
      <c r="R28" s="126"/>
      <c r="S28" s="126"/>
      <c r="T28" s="127" t="str">
        <f t="shared" si="20"/>
        <v/>
      </c>
      <c r="U28" s="126"/>
      <c r="V28" s="126"/>
      <c r="W28" s="126"/>
      <c r="X28" s="128" t="str">
        <f t="shared" si="24"/>
        <v/>
      </c>
      <c r="Y28" s="129" t="str">
        <f t="shared" si="12"/>
        <v/>
      </c>
      <c r="Z28" s="130" t="str">
        <f t="shared" si="21"/>
        <v/>
      </c>
      <c r="AA28" s="129" t="str">
        <f t="shared" si="14"/>
        <v/>
      </c>
      <c r="AB28" s="130" t="str">
        <f t="shared" si="25"/>
        <v/>
      </c>
      <c r="AC28" s="131" t="str">
        <f t="shared" si="26"/>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03">
        <v>10</v>
      </c>
      <c r="B29" s="206"/>
      <c r="C29" s="206"/>
      <c r="D29" s="206"/>
      <c r="E29" s="209"/>
      <c r="F29" s="206"/>
      <c r="G29" s="212"/>
      <c r="H29" s="215" t="str">
        <f>IF(G29&lt;=0,"",IF(G29&lt;=2,"Muy Baja",IF(G29&lt;=24,"Baja",IF(G29&lt;=500,"Media",IF(G29&lt;=5000,"Alta","Muy Alta")))))</f>
        <v/>
      </c>
      <c r="I29" s="218" t="str">
        <f>IF(H29="","",IF(H29="Muy Baja",0.2,IF(H29="Baja",0.4,IF(H29="Media",0.6,IF(H29="Alta",0.8,IF(H29="Muy Alta",1,))))))</f>
        <v/>
      </c>
      <c r="J29" s="221"/>
      <c r="K29" s="218">
        <f ca="1">IF(NOT(ISERROR(MATCH(J29,'Tabla Impacto'!$B$221:$B$223,0))),'Tabla Impacto'!$F$223&amp;"Por favor no seleccionar los criterios de impacto(Afectación Económica o presupuestal y Pérdida Reputacional)",J29)</f>
        <v>0</v>
      </c>
      <c r="L29" s="215" t="str">
        <f ca="1">IF(OR(K29='Tabla Impacto'!$C$11,K29='Tabla Impacto'!$D$11),"Leve",IF(OR(K29='Tabla Impacto'!$C$12,K29='Tabla Impacto'!$D$12),"Menor",IF(OR(K29='Tabla Impacto'!$C$13,K29='Tabla Impacto'!$D$13),"Moderado",IF(OR(K29='Tabla Impacto'!$C$14,K29='Tabla Impacto'!$D$14),"Mayor",IF(OR(K29='Tabla Impacto'!$C$15,K29='Tabla Impacto'!$D$15),"Catastrófico","")))))</f>
        <v/>
      </c>
      <c r="M29" s="218" t="str">
        <f ca="1">IF(L29="","",IF(L29="Leve",0.2,IF(L29="Menor",0.4,IF(L29="Moderado",0.6,IF(L29="Mayor",0.8,IF(L29="Catastrófico",1,))))))</f>
        <v/>
      </c>
      <c r="N29" s="224"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23">
        <v>1</v>
      </c>
      <c r="P29" s="124"/>
      <c r="Q29" s="125" t="str">
        <f>IF(OR(R29="Preventivo",R29="Detectivo"),"Probabilidad",IF(R29="Correctivo","Impacto",""))</f>
        <v/>
      </c>
      <c r="R29" s="126"/>
      <c r="S29" s="126"/>
      <c r="T29" s="127" t="str">
        <f>IF(AND(R29="Preventivo",S29="Automático"),"50%",IF(AND(R29="Preventivo",S29="Manual"),"40%",IF(AND(R29="Detectivo",S29="Automático"),"40%",IF(AND(R29="Detectivo",S29="Manual"),"30%",IF(AND(R29="Correctivo",S29="Automático"),"35%",IF(AND(R29="Correctivo",S29="Manual"),"25%",""))))))</f>
        <v/>
      </c>
      <c r="U29" s="126"/>
      <c r="V29" s="126"/>
      <c r="W29" s="126"/>
      <c r="X29" s="128" t="str">
        <f>IFERROR(IF(Q29="Probabilidad",(I29-(+I29*T29)),IF(Q29="Impacto",I29,"")),"")</f>
        <v/>
      </c>
      <c r="Y29" s="129" t="str">
        <f>IFERROR(IF(X29="","",IF(X29&lt;=0.2,"Muy Baja",IF(X29&lt;=0.4,"Baja",IF(X29&lt;=0.6,"Media",IF(X29&lt;=0.8,"Alta","Muy Alta"))))),"")</f>
        <v/>
      </c>
      <c r="Z29" s="130" t="str">
        <f>+X29</f>
        <v/>
      </c>
      <c r="AA29" s="129" t="str">
        <f>IFERROR(IF(AB29="","",IF(AB29&lt;=0.2,"Leve",IF(AB29&lt;=0.4,"Menor",IF(AB29&lt;=0.6,"Moderado",IF(AB29&lt;=0.8,"Mayor","Catastrófico"))))),"")</f>
        <v/>
      </c>
      <c r="AB29" s="130" t="str">
        <f>IFERROR(IF(Q29="Impacto",(M29-(+M29*T29)),IF(Q29="Probabilidad",M29,"")),"")</f>
        <v/>
      </c>
      <c r="AC29" s="131"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04"/>
      <c r="B30" s="207"/>
      <c r="C30" s="207"/>
      <c r="D30" s="207"/>
      <c r="E30" s="210"/>
      <c r="F30" s="207"/>
      <c r="G30" s="213"/>
      <c r="H30" s="216"/>
      <c r="I30" s="219"/>
      <c r="J30" s="222"/>
      <c r="K30" s="219">
        <f ca="1">IF(NOT(ISERROR(MATCH(J30,_xlfn.ANCHORARRAY(E41),0))),I43&amp;"Por favor no seleccionar los criterios de impacto",J30)</f>
        <v>0</v>
      </c>
      <c r="L30" s="216"/>
      <c r="M30" s="219"/>
      <c r="N30" s="225"/>
      <c r="O30" s="123">
        <v>2</v>
      </c>
      <c r="P30" s="124"/>
      <c r="Q30" s="125" t="str">
        <f>IF(OR(R30="Preventivo",R30="Detectivo"),"Probabilidad",IF(R30="Correctivo","Impacto",""))</f>
        <v/>
      </c>
      <c r="R30" s="126"/>
      <c r="S30" s="126"/>
      <c r="T30" s="127" t="str">
        <f t="shared" ref="T30:T34" si="27">IF(AND(R30="Preventivo",S30="Automático"),"50%",IF(AND(R30="Preventivo",S30="Manual"),"40%",IF(AND(R30="Detectivo",S30="Automático"),"40%",IF(AND(R30="Detectivo",S30="Manual"),"30%",IF(AND(R30="Correctivo",S30="Automático"),"35%",IF(AND(R30="Correctivo",S30="Manual"),"25%",""))))))</f>
        <v/>
      </c>
      <c r="U30" s="126"/>
      <c r="V30" s="126"/>
      <c r="W30" s="126"/>
      <c r="X30" s="128" t="str">
        <f>IFERROR(IF(AND(Q29="Probabilidad",Q30="Probabilidad"),(Z29-(+Z29*T30)),IF(Q30="Probabilidad",(I29-(+I29*T30)),IF(Q30="Impacto",Z29,""))),"")</f>
        <v/>
      </c>
      <c r="Y30" s="129" t="str">
        <f t="shared" si="12"/>
        <v/>
      </c>
      <c r="Z30" s="130" t="str">
        <f t="shared" ref="Z30:Z34" si="28">+X30</f>
        <v/>
      </c>
      <c r="AA30" s="129" t="str">
        <f t="shared" si="14"/>
        <v/>
      </c>
      <c r="AB30" s="130" t="str">
        <f>IFERROR(IF(AND(Q29="Impacto",Q30="Impacto"),(AB29-(+AB29*T30)),IF(Q30="Impacto",(M29-(+M29*T30)),IF(Q30="Probabilidad",AB29,""))),"")</f>
        <v/>
      </c>
      <c r="AC30" s="131" t="str">
        <f t="shared" ref="AC30:AC31" si="29">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row>
    <row r="31" spans="1:68" ht="35.25" customHeight="1" x14ac:dyDescent="0.3">
      <c r="A31" s="204"/>
      <c r="B31" s="207"/>
      <c r="C31" s="207"/>
      <c r="D31" s="207"/>
      <c r="E31" s="210"/>
      <c r="F31" s="207"/>
      <c r="G31" s="213"/>
      <c r="H31" s="216"/>
      <c r="I31" s="219"/>
      <c r="J31" s="222"/>
      <c r="K31" s="219">
        <f ca="1">IF(NOT(ISERROR(MATCH(J31,_xlfn.ANCHORARRAY(E42),0))),I44&amp;"Por favor no seleccionar los criterios de impacto",J31)</f>
        <v>0</v>
      </c>
      <c r="L31" s="216"/>
      <c r="M31" s="219"/>
      <c r="N31" s="225"/>
      <c r="O31" s="123">
        <v>3</v>
      </c>
      <c r="P31" s="136"/>
      <c r="Q31" s="125" t="str">
        <f>IF(OR(R31="Preventivo",R31="Detectivo"),"Probabilidad",IF(R31="Correctivo","Impacto",""))</f>
        <v/>
      </c>
      <c r="R31" s="126"/>
      <c r="S31" s="126"/>
      <c r="T31" s="127" t="str">
        <f t="shared" si="27"/>
        <v/>
      </c>
      <c r="U31" s="126"/>
      <c r="V31" s="126"/>
      <c r="W31" s="126"/>
      <c r="X31" s="128" t="str">
        <f>IFERROR(IF(AND(Q30="Probabilidad",Q31="Probabilidad"),(Z30-(+Z30*T31)),IF(AND(Q30="Impacto",Q31="Probabilidad"),(Z29-(+Z29*T31)),IF(Q31="Impacto",Z30,""))),"")</f>
        <v/>
      </c>
      <c r="Y31" s="129" t="str">
        <f t="shared" si="12"/>
        <v/>
      </c>
      <c r="Z31" s="130" t="str">
        <f t="shared" si="28"/>
        <v/>
      </c>
      <c r="AA31" s="129" t="str">
        <f t="shared" si="14"/>
        <v/>
      </c>
      <c r="AB31" s="130" t="str">
        <f>IFERROR(IF(AND(Q30="Impacto",Q31="Impacto"),(AB30-(+AB30*T31)),IF(AND(Q30="Probabilidad",Q31="Impacto"),(AB29-(+AB29*T31)),IF(Q31="Probabilidad",AB30,""))),"")</f>
        <v/>
      </c>
      <c r="AC31" s="131" t="str">
        <f t="shared" si="29"/>
        <v/>
      </c>
      <c r="AD31" s="132"/>
      <c r="AE31" s="133"/>
      <c r="AF31" s="134"/>
      <c r="AG31" s="135"/>
      <c r="AH31" s="135"/>
      <c r="AI31" s="133"/>
      <c r="AJ31" s="134"/>
    </row>
    <row r="32" spans="1:68" ht="35.25" customHeight="1" x14ac:dyDescent="0.3">
      <c r="A32" s="204"/>
      <c r="B32" s="207"/>
      <c r="C32" s="207"/>
      <c r="D32" s="207"/>
      <c r="E32" s="210"/>
      <c r="F32" s="207"/>
      <c r="G32" s="213"/>
      <c r="H32" s="216"/>
      <c r="I32" s="219"/>
      <c r="J32" s="222"/>
      <c r="K32" s="219">
        <f ca="1">IF(NOT(ISERROR(MATCH(J32,_xlfn.ANCHORARRAY(E43),0))),I45&amp;"Por favor no seleccionar los criterios de impacto",J32)</f>
        <v>0</v>
      </c>
      <c r="L32" s="216"/>
      <c r="M32" s="219"/>
      <c r="N32" s="225"/>
      <c r="O32" s="123">
        <v>4</v>
      </c>
      <c r="P32" s="124"/>
      <c r="Q32" s="125" t="str">
        <f t="shared" ref="Q32:Q34" si="30">IF(OR(R32="Preventivo",R32="Detectivo"),"Probabilidad",IF(R32="Correctivo","Impacto",""))</f>
        <v/>
      </c>
      <c r="R32" s="126"/>
      <c r="S32" s="126"/>
      <c r="T32" s="127" t="str">
        <f t="shared" si="27"/>
        <v/>
      </c>
      <c r="U32" s="126"/>
      <c r="V32" s="126"/>
      <c r="W32" s="126"/>
      <c r="X32" s="128" t="str">
        <f t="shared" ref="X32:X34" si="31">IFERROR(IF(AND(Q31="Probabilidad",Q32="Probabilidad"),(Z31-(+Z31*T32)),IF(AND(Q31="Impacto",Q32="Probabilidad"),(Z30-(+Z30*T32)),IF(Q32="Impacto",Z31,""))),"")</f>
        <v/>
      </c>
      <c r="Y32" s="129" t="str">
        <f t="shared" si="12"/>
        <v/>
      </c>
      <c r="Z32" s="130" t="str">
        <f t="shared" si="28"/>
        <v/>
      </c>
      <c r="AA32" s="129" t="str">
        <f t="shared" si="14"/>
        <v/>
      </c>
      <c r="AB32" s="130" t="str">
        <f t="shared" ref="AB32:AB34" si="32">IFERROR(IF(AND(Q31="Impacto",Q32="Impacto"),(AB31-(+AB31*T32)),IF(AND(Q31="Probabilidad",Q32="Impacto"),(AB30-(+AB30*T32)),IF(Q32="Probabilidad",AB31,""))),"")</f>
        <v/>
      </c>
      <c r="AC32" s="131"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row>
    <row r="33" spans="1:36" ht="35.25" customHeight="1" x14ac:dyDescent="0.3">
      <c r="A33" s="204"/>
      <c r="B33" s="207"/>
      <c r="C33" s="207"/>
      <c r="D33" s="207"/>
      <c r="E33" s="210"/>
      <c r="F33" s="207"/>
      <c r="G33" s="213"/>
      <c r="H33" s="216"/>
      <c r="I33" s="219"/>
      <c r="J33" s="222"/>
      <c r="K33" s="219">
        <f ca="1">IF(NOT(ISERROR(MATCH(J33,_xlfn.ANCHORARRAY(E44),0))),I46&amp;"Por favor no seleccionar los criterios de impacto",J33)</f>
        <v>0</v>
      </c>
      <c r="L33" s="216"/>
      <c r="M33" s="219"/>
      <c r="N33" s="225"/>
      <c r="O33" s="123">
        <v>5</v>
      </c>
      <c r="P33" s="124"/>
      <c r="Q33" s="125" t="str">
        <f t="shared" si="30"/>
        <v/>
      </c>
      <c r="R33" s="126"/>
      <c r="S33" s="126"/>
      <c r="T33" s="127" t="str">
        <f t="shared" si="27"/>
        <v/>
      </c>
      <c r="U33" s="126"/>
      <c r="V33" s="126"/>
      <c r="W33" s="126"/>
      <c r="X33" s="128" t="str">
        <f t="shared" si="31"/>
        <v/>
      </c>
      <c r="Y33" s="129" t="str">
        <f t="shared" si="12"/>
        <v/>
      </c>
      <c r="Z33" s="130" t="str">
        <f t="shared" si="28"/>
        <v/>
      </c>
      <c r="AA33" s="129" t="str">
        <f t="shared" si="14"/>
        <v/>
      </c>
      <c r="AB33" s="130" t="str">
        <f t="shared" si="32"/>
        <v/>
      </c>
      <c r="AC33" s="131" t="str">
        <f t="shared" ref="AC33:AC34" si="33">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2"/>
      <c r="AE33" s="133"/>
      <c r="AF33" s="134"/>
      <c r="AG33" s="135"/>
      <c r="AH33" s="135"/>
      <c r="AI33" s="133"/>
      <c r="AJ33" s="134"/>
    </row>
    <row r="34" spans="1:36" ht="35.25" customHeight="1" x14ac:dyDescent="0.3">
      <c r="A34" s="205"/>
      <c r="B34" s="208"/>
      <c r="C34" s="208"/>
      <c r="D34" s="208"/>
      <c r="E34" s="211"/>
      <c r="F34" s="208"/>
      <c r="G34" s="214"/>
      <c r="H34" s="217"/>
      <c r="I34" s="220"/>
      <c r="J34" s="223"/>
      <c r="K34" s="220">
        <f ca="1">IF(NOT(ISERROR(MATCH(J34,_xlfn.ANCHORARRAY(E45),0))),I47&amp;"Por favor no seleccionar los criterios de impacto",J34)</f>
        <v>0</v>
      </c>
      <c r="L34" s="217"/>
      <c r="M34" s="220"/>
      <c r="N34" s="226"/>
      <c r="O34" s="123">
        <v>6</v>
      </c>
      <c r="P34" s="124"/>
      <c r="Q34" s="125" t="str">
        <f t="shared" si="30"/>
        <v/>
      </c>
      <c r="R34" s="126"/>
      <c r="S34" s="126"/>
      <c r="T34" s="127" t="str">
        <f t="shared" si="27"/>
        <v/>
      </c>
      <c r="U34" s="126"/>
      <c r="V34" s="126"/>
      <c r="W34" s="126"/>
      <c r="X34" s="128" t="str">
        <f t="shared" si="31"/>
        <v/>
      </c>
      <c r="Y34" s="129" t="str">
        <f t="shared" si="12"/>
        <v/>
      </c>
      <c r="Z34" s="130" t="str">
        <f t="shared" si="28"/>
        <v/>
      </c>
      <c r="AA34" s="129" t="str">
        <f t="shared" si="14"/>
        <v/>
      </c>
      <c r="AB34" s="130" t="str">
        <f t="shared" si="32"/>
        <v/>
      </c>
      <c r="AC34" s="131" t="str">
        <f t="shared" si="33"/>
        <v/>
      </c>
      <c r="AD34" s="132"/>
      <c r="AE34" s="133"/>
      <c r="AF34" s="134"/>
      <c r="AG34" s="135"/>
      <c r="AH34" s="135"/>
      <c r="AI34" s="133"/>
      <c r="AJ34" s="134"/>
    </row>
    <row r="35" spans="1:36" ht="49.5" customHeight="1" x14ac:dyDescent="0.3">
      <c r="A35" s="6"/>
      <c r="B35" s="248" t="s">
        <v>131</v>
      </c>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50"/>
    </row>
    <row r="37" spans="1:36" x14ac:dyDescent="0.3">
      <c r="A37" s="1"/>
      <c r="B37" s="24" t="s">
        <v>143</v>
      </c>
      <c r="C37" s="1"/>
      <c r="D37" s="1"/>
      <c r="F37" s="1"/>
    </row>
  </sheetData>
  <dataConsolidate/>
  <mergeCells count="87">
    <mergeCell ref="B35:AJ35"/>
    <mergeCell ref="M23:M28"/>
    <mergeCell ref="N23:N28"/>
    <mergeCell ref="A29:A34"/>
    <mergeCell ref="B29:B34"/>
    <mergeCell ref="C29:C34"/>
    <mergeCell ref="D29:D34"/>
    <mergeCell ref="E29:E34"/>
    <mergeCell ref="F29:F34"/>
    <mergeCell ref="G29:G34"/>
    <mergeCell ref="H29:H34"/>
    <mergeCell ref="I29:I34"/>
    <mergeCell ref="J29:J34"/>
    <mergeCell ref="K29:K34"/>
    <mergeCell ref="L29:L34"/>
    <mergeCell ref="M29:M34"/>
    <mergeCell ref="O4:Q4"/>
    <mergeCell ref="A1:AJ2"/>
    <mergeCell ref="A7:G7"/>
    <mergeCell ref="H7:N7"/>
    <mergeCell ref="O7:W7"/>
    <mergeCell ref="X7:AD7"/>
    <mergeCell ref="AE7:AJ7"/>
    <mergeCell ref="A4:B4"/>
    <mergeCell ref="A5:B5"/>
    <mergeCell ref="A6:B6"/>
    <mergeCell ref="C4:N4"/>
    <mergeCell ref="C5:Q5"/>
    <mergeCell ref="C6:N6"/>
    <mergeCell ref="N29:N34"/>
    <mergeCell ref="J23:J28"/>
    <mergeCell ref="K23:K28"/>
    <mergeCell ref="L23:L28"/>
    <mergeCell ref="A23:A28"/>
    <mergeCell ref="B23:B28"/>
    <mergeCell ref="C23:C28"/>
    <mergeCell ref="D23:D28"/>
    <mergeCell ref="E23:E28"/>
    <mergeCell ref="F23:F28"/>
    <mergeCell ref="G23:G28"/>
    <mergeCell ref="H23:H28"/>
    <mergeCell ref="I23:I28"/>
    <mergeCell ref="X8:X9"/>
    <mergeCell ref="P8:P9"/>
    <mergeCell ref="A17:A22"/>
    <mergeCell ref="B17:B22"/>
    <mergeCell ref="C17:C22"/>
    <mergeCell ref="D17:D22"/>
    <mergeCell ref="E17:E22"/>
    <mergeCell ref="F17:F22"/>
    <mergeCell ref="G17:G22"/>
    <mergeCell ref="H17:H22"/>
    <mergeCell ref="I17:I22"/>
    <mergeCell ref="J17:J22"/>
    <mergeCell ref="K17:K22"/>
    <mergeCell ref="L17:L22"/>
    <mergeCell ref="M17:M22"/>
    <mergeCell ref="N17:N22"/>
    <mergeCell ref="G8:G9"/>
    <mergeCell ref="H8:H9"/>
    <mergeCell ref="A8:A9"/>
    <mergeCell ref="F8:F9"/>
    <mergeCell ref="E8:E9"/>
    <mergeCell ref="D8:D9"/>
    <mergeCell ref="C8:C9"/>
    <mergeCell ref="B8:B9"/>
    <mergeCell ref="AJ8:AJ9"/>
    <mergeCell ref="AI8:AI9"/>
    <mergeCell ref="AH8:AH9"/>
    <mergeCell ref="AG8:AG9"/>
    <mergeCell ref="AF8:AF9"/>
    <mergeCell ref="I8:I9"/>
    <mergeCell ref="L8:L9"/>
    <mergeCell ref="M8:M9"/>
    <mergeCell ref="R8:W8"/>
    <mergeCell ref="AE8:AE9"/>
    <mergeCell ref="AD8:AD9"/>
    <mergeCell ref="N8:N9"/>
    <mergeCell ref="J8:J9"/>
    <mergeCell ref="K8:K9"/>
    <mergeCell ref="Q8:Q9"/>
    <mergeCell ref="AA8:AA9"/>
    <mergeCell ref="Y8:Y9"/>
    <mergeCell ref="Z8:Z9"/>
    <mergeCell ref="O8:O9"/>
    <mergeCell ref="AC8:AC9"/>
    <mergeCell ref="AB8:AB9"/>
  </mergeCells>
  <conditionalFormatting sqref="H10:H17">
    <cfRule type="cellIs" dxfId="46" priority="1" operator="equal">
      <formula>"Muy Alta"</formula>
    </cfRule>
    <cfRule type="cellIs" dxfId="45" priority="2" operator="equal">
      <formula>"Alta"</formula>
    </cfRule>
    <cfRule type="cellIs" dxfId="44" priority="3" operator="equal">
      <formula>"Media"</formula>
    </cfRule>
    <cfRule type="cellIs" dxfId="43" priority="4" operator="equal">
      <formula>"Baja"</formula>
    </cfRule>
    <cfRule type="cellIs" dxfId="42" priority="5" operator="equal">
      <formula>"Muy Baja"</formula>
    </cfRule>
  </conditionalFormatting>
  <conditionalFormatting sqref="H23">
    <cfRule type="cellIs" dxfId="41" priority="59" operator="equal">
      <formula>"Alta"</formula>
    </cfRule>
    <cfRule type="cellIs" dxfId="40" priority="58" operator="equal">
      <formula>"Muy Alta"</formula>
    </cfRule>
    <cfRule type="cellIs" dxfId="39" priority="62" operator="equal">
      <formula>"Muy Baja"</formula>
    </cfRule>
    <cfRule type="cellIs" dxfId="38" priority="61" operator="equal">
      <formula>"Baja"</formula>
    </cfRule>
    <cfRule type="cellIs" dxfId="37" priority="60" operator="equal">
      <formula>"Media"</formula>
    </cfRule>
  </conditionalFormatting>
  <conditionalFormatting sqref="H29">
    <cfRule type="cellIs" dxfId="36" priority="34" operator="equal">
      <formula>"Muy Baja"</formula>
    </cfRule>
    <cfRule type="cellIs" dxfId="35" priority="33" operator="equal">
      <formula>"Baja"</formula>
    </cfRule>
    <cfRule type="cellIs" dxfId="34" priority="32" operator="equal">
      <formula>"Media"</formula>
    </cfRule>
    <cfRule type="cellIs" dxfId="33" priority="31" operator="equal">
      <formula>"Alta"</formula>
    </cfRule>
    <cfRule type="cellIs" dxfId="32" priority="30" operator="equal">
      <formula>"Muy Alta"</formula>
    </cfRule>
  </conditionalFormatting>
  <conditionalFormatting sqref="K10:K34">
    <cfRule type="containsText" dxfId="31" priority="6" operator="containsText" text="❌">
      <formula>NOT(ISERROR(SEARCH("❌",K10)))</formula>
    </cfRule>
  </conditionalFormatting>
  <conditionalFormatting sqref="L10:L17 L23 L29">
    <cfRule type="cellIs" dxfId="30" priority="321" operator="equal">
      <formula>"Moderado"</formula>
    </cfRule>
    <cfRule type="cellIs" dxfId="29" priority="322" operator="equal">
      <formula>"Menor"</formula>
    </cfRule>
    <cfRule type="cellIs" dxfId="28" priority="323" operator="equal">
      <formula>"Leve"</formula>
    </cfRule>
    <cfRule type="cellIs" dxfId="27" priority="319" operator="equal">
      <formula>"Catastrófico"</formula>
    </cfRule>
    <cfRule type="cellIs" dxfId="26" priority="320" operator="equal">
      <formula>"Mayor"</formula>
    </cfRule>
  </conditionalFormatting>
  <conditionalFormatting sqref="N10:N17">
    <cfRule type="cellIs" dxfId="25" priority="78" operator="equal">
      <formula>"Alto"</formula>
    </cfRule>
    <cfRule type="cellIs" dxfId="24" priority="79" operator="equal">
      <formula>"Moderado"</formula>
    </cfRule>
    <cfRule type="cellIs" dxfId="23" priority="80" operator="equal">
      <formula>"Bajo"</formula>
    </cfRule>
    <cfRule type="cellIs" dxfId="22" priority="77" operator="equal">
      <formula>"Extremo"</formula>
    </cfRule>
  </conditionalFormatting>
  <conditionalFormatting sqref="N23">
    <cfRule type="cellIs" dxfId="21" priority="49" operator="equal">
      <formula>"Extremo"</formula>
    </cfRule>
    <cfRule type="cellIs" dxfId="20" priority="50" operator="equal">
      <formula>"Alto"</formula>
    </cfRule>
    <cfRule type="cellIs" dxfId="19" priority="51" operator="equal">
      <formula>"Moderado"</formula>
    </cfRule>
    <cfRule type="cellIs" dxfId="18" priority="52" operator="equal">
      <formula>"Bajo"</formula>
    </cfRule>
  </conditionalFormatting>
  <conditionalFormatting sqref="N29">
    <cfRule type="cellIs" dxfId="17" priority="24" operator="equal">
      <formula>"Bajo"</formula>
    </cfRule>
    <cfRule type="cellIs" dxfId="16" priority="23" operator="equal">
      <formula>"Moderado"</formula>
    </cfRule>
    <cfRule type="cellIs" dxfId="15" priority="22" operator="equal">
      <formula>"Alto"</formula>
    </cfRule>
    <cfRule type="cellIs" dxfId="14" priority="21" operator="equal">
      <formula>"Extremo"</formula>
    </cfRule>
  </conditionalFormatting>
  <conditionalFormatting sqref="Y10:Y34">
    <cfRule type="cellIs" dxfId="13" priority="19" operator="equal">
      <formula>"Baja"</formula>
    </cfRule>
    <cfRule type="cellIs" dxfId="12" priority="18" operator="equal">
      <formula>"Media"</formula>
    </cfRule>
    <cfRule type="cellIs" dxfId="11" priority="17" operator="equal">
      <formula>"Alta"</formula>
    </cfRule>
    <cfRule type="cellIs" dxfId="10" priority="16" operator="equal">
      <formula>"Muy Alta"</formula>
    </cfRule>
    <cfRule type="cellIs" dxfId="9" priority="20" operator="equal">
      <formula>"Muy Baja"</formula>
    </cfRule>
  </conditionalFormatting>
  <conditionalFormatting sqref="AA10:AA34">
    <cfRule type="cellIs" dxfId="8" priority="11" operator="equal">
      <formula>"Catastrófico"</formula>
    </cfRule>
    <cfRule type="cellIs" dxfId="7" priority="12" operator="equal">
      <formula>"Mayor"</formula>
    </cfRule>
    <cfRule type="cellIs" dxfId="6" priority="13" operator="equal">
      <formula>"Moderado"</formula>
    </cfRule>
    <cfRule type="cellIs" dxfId="5" priority="15" operator="equal">
      <formula>"Leve"</formula>
    </cfRule>
    <cfRule type="cellIs" dxfId="4" priority="14" operator="equal">
      <formula>"Menor"</formula>
    </cfRule>
  </conditionalFormatting>
  <conditionalFormatting sqref="AC10:AC34">
    <cfRule type="cellIs" dxfId="3" priority="7" operator="equal">
      <formula>"Extremo"</formula>
    </cfRule>
    <cfRule type="cellIs" dxfId="2" priority="8" operator="equal">
      <formula>"Alto"</formula>
    </cfRule>
    <cfRule type="cellIs" dxfId="1" priority="9" operator="equal">
      <formula>"Moderado"</formula>
    </cfRule>
    <cfRule type="cellIs" dxfId="0" priority="10" operator="equal">
      <formula>"Bajo"</formula>
    </cfRule>
  </conditionalFormatting>
  <printOptions horizontalCentered="1"/>
  <pageMargins left="0.70866141732283472" right="0.70866141732283472" top="0.74803149606299213" bottom="0.74803149606299213" header="0.31496062992125984" footer="0.31496062992125984"/>
  <pageSetup paperSize="5" scale="31" orientation="landscape" r:id="rId1"/>
  <rowBreaks count="1" manualBreakCount="1">
    <brk id="15" max="36" man="1"/>
  </rowBreaks>
  <colBreaks count="2" manualBreakCount="2">
    <brk id="24" max="1048575" man="1"/>
    <brk id="37" max="104857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AJ10:AJ18 AJ20:AJ21 AJ23:AJ24 AJ26:AJ27 AJ29:AJ30 AJ32:AJ33</xm:sqref>
        </x14:dataValidation>
        <x14:dataValidation type="list" allowBlank="1" showInputMessage="1" showErrorMessage="1" xr:uid="{00000000-0002-0000-0100-000001000000}">
          <x14:formula1>
            <xm:f>'Tabla Valoración controles'!$D$4:$D$6</xm:f>
          </x14:formula1>
          <xm:sqref>R10:R34</xm:sqref>
        </x14:dataValidation>
        <x14:dataValidation type="list" allowBlank="1" showInputMessage="1" showErrorMessage="1" xr:uid="{00000000-0002-0000-0100-000002000000}">
          <x14:formula1>
            <xm:f>'Tabla Valoración controles'!$D$7:$D$8</xm:f>
          </x14:formula1>
          <xm:sqref>S10:S34</xm:sqref>
        </x14:dataValidation>
        <x14:dataValidation type="list" allowBlank="1" showInputMessage="1" showErrorMessage="1" xr:uid="{00000000-0002-0000-0100-000003000000}">
          <x14:formula1>
            <xm:f>'Tabla Valoración controles'!$D$9:$D$10</xm:f>
          </x14:formula1>
          <xm:sqref>U10:U34</xm:sqref>
        </x14:dataValidation>
        <x14:dataValidation type="list" allowBlank="1" showInputMessage="1" showErrorMessage="1" xr:uid="{00000000-0002-0000-0100-000004000000}">
          <x14:formula1>
            <xm:f>'Tabla Valoración controles'!$D$11:$D$12</xm:f>
          </x14:formula1>
          <xm:sqref>V10:V34</xm:sqref>
        </x14:dataValidation>
        <x14:dataValidation type="list" allowBlank="1" showInputMessage="1" showErrorMessage="1" xr:uid="{00000000-0002-0000-0100-000005000000}">
          <x14:formula1>
            <xm:f>'Tabla Valoración controles'!$D$13:$D$14</xm:f>
          </x14:formula1>
          <xm:sqref>W10:W34</xm:sqref>
        </x14:dataValidation>
        <x14:dataValidation type="list" allowBlank="1" showInputMessage="1" showErrorMessage="1" xr:uid="{00000000-0002-0000-0100-000006000000}">
          <x14:formula1>
            <xm:f>'Opciones Tratamiento'!$B$13:$B$19</xm:f>
          </x14:formula1>
          <xm:sqref>F10:F34</xm:sqref>
        </x14:dataValidation>
        <x14:dataValidation type="list" allowBlank="1" showInputMessage="1" showErrorMessage="1" xr:uid="{00000000-0002-0000-0100-000007000000}">
          <x14:formula1>
            <xm:f>'Opciones Tratamiento'!$E$2:$E$4</xm:f>
          </x14:formula1>
          <xm:sqref>B10:B34</xm:sqref>
        </x14:dataValidation>
        <x14:dataValidation type="list" allowBlank="1" showInputMessage="1" showErrorMessage="1" xr:uid="{00000000-0002-0000-0100-000008000000}">
          <x14:formula1>
            <xm:f>'Opciones Tratamiento'!$B$2:$B$5</xm:f>
          </x14:formula1>
          <xm:sqref>AD10:AD34</xm:sqref>
        </x14:dataValidation>
        <x14:dataValidation type="list" allowBlank="1" showInputMessage="1" showErrorMessage="1" xr:uid="{00000000-0002-0000-0100-000009000000}">
          <x14:formula1>
            <xm:f>'Tabla Impacto'!$F$210:$F$221</xm:f>
          </x14:formula1>
          <xm:sqref>J10:J34</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AE10:AE34</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AF10:AF34</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AG10:AG34</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AH10:AH34</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4.5" x14ac:dyDescent="0.35"/>
  <cols>
    <col min="2" max="39" width="5.7265625" customWidth="1"/>
    <col min="41" max="46" width="5.7265625" customWidth="1"/>
  </cols>
  <sheetData>
    <row r="1" spans="1:99" x14ac:dyDescent="0.3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35">
      <c r="A2" s="83"/>
      <c r="B2" s="251" t="s">
        <v>160</v>
      </c>
      <c r="C2" s="251"/>
      <c r="D2" s="251"/>
      <c r="E2" s="251"/>
      <c r="F2" s="251"/>
      <c r="G2" s="251"/>
      <c r="H2" s="251"/>
      <c r="I2" s="251"/>
      <c r="J2" s="288" t="s">
        <v>2</v>
      </c>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35">
      <c r="A3" s="83"/>
      <c r="B3" s="251"/>
      <c r="C3" s="251"/>
      <c r="D3" s="251"/>
      <c r="E3" s="251"/>
      <c r="F3" s="251"/>
      <c r="G3" s="251"/>
      <c r="H3" s="251"/>
      <c r="I3" s="251"/>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35">
      <c r="A4" s="83"/>
      <c r="B4" s="251"/>
      <c r="C4" s="251"/>
      <c r="D4" s="251"/>
      <c r="E4" s="251"/>
      <c r="F4" s="251"/>
      <c r="G4" s="251"/>
      <c r="H4" s="251"/>
      <c r="I4" s="251"/>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 thickBot="1" x14ac:dyDescent="0.4">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35">
      <c r="A6" s="83"/>
      <c r="B6" s="299" t="s">
        <v>4</v>
      </c>
      <c r="C6" s="299"/>
      <c r="D6" s="300"/>
      <c r="E6" s="289" t="s">
        <v>116</v>
      </c>
      <c r="F6" s="290"/>
      <c r="G6" s="290"/>
      <c r="H6" s="290"/>
      <c r="I6" s="291"/>
      <c r="J6" s="285" t="str">
        <f>IF(AND('Mapa final'!$H$10="Muy Alta",'Mapa final'!$L$10="Leve"),CONCATENATE("R",'Mapa final'!$A$10),"")</f>
        <v/>
      </c>
      <c r="K6" s="286"/>
      <c r="L6" s="286" t="str">
        <f>IF(AND('Mapa final'!$H$11="Muy Alta",'Mapa final'!$L$11="Leve"),CONCATENATE("R",'Mapa final'!$A$11),"")</f>
        <v/>
      </c>
      <c r="M6" s="286"/>
      <c r="N6" s="286" t="str">
        <f>IF(AND('Mapa final'!$H$12="Muy Alta",'Mapa final'!$L$12="Leve"),CONCATENATE("R",'Mapa final'!$A$12),"")</f>
        <v/>
      </c>
      <c r="O6" s="287"/>
      <c r="P6" s="285" t="str">
        <f>IF(AND('Mapa final'!$H$10="Muy Alta",'Mapa final'!$L$10="Menor"),CONCATENATE("R",'Mapa final'!$A$10),"")</f>
        <v/>
      </c>
      <c r="Q6" s="286"/>
      <c r="R6" s="286" t="str">
        <f>IF(AND('Mapa final'!$H$11="Muy Alta",'Mapa final'!$L$11="Menor"),CONCATENATE("R",'Mapa final'!$A$11),"")</f>
        <v/>
      </c>
      <c r="S6" s="286"/>
      <c r="T6" s="286" t="str">
        <f>IF(AND('Mapa final'!$H$12="Muy Alta",'Mapa final'!$L$12="Menor"),CONCATENATE("R",'Mapa final'!$A$12),"")</f>
        <v/>
      </c>
      <c r="U6" s="287"/>
      <c r="V6" s="285" t="str">
        <f>IF(AND('Mapa final'!$H$10="Muy Alta",'Mapa final'!$L$10="Moderado"),CONCATENATE("R",'Mapa final'!$A$10),"")</f>
        <v/>
      </c>
      <c r="W6" s="286"/>
      <c r="X6" s="286" t="str">
        <f>IF(AND('Mapa final'!$H$11="Muy Alta",'Mapa final'!$L$11="Moderado"),CONCATENATE("R",'Mapa final'!$A$11),"")</f>
        <v/>
      </c>
      <c r="Y6" s="286"/>
      <c r="Z6" s="286" t="str">
        <f>IF(AND('Mapa final'!$H$12="Muy Alta",'Mapa final'!$L$12="Moderado"),CONCATENATE("R",'Mapa final'!$A$12),"")</f>
        <v/>
      </c>
      <c r="AA6" s="287"/>
      <c r="AB6" s="285" t="str">
        <f>IF(AND('Mapa final'!$H$10="Muy Alta",'Mapa final'!$L$10="Mayor"),CONCATENATE("R",'Mapa final'!$A$10),"")</f>
        <v/>
      </c>
      <c r="AC6" s="286"/>
      <c r="AD6" s="286" t="str">
        <f>IF(AND('Mapa final'!$H$11="Muy Alta",'Mapa final'!$L$11="Mayor"),CONCATENATE("R",'Mapa final'!$A$11),"")</f>
        <v/>
      </c>
      <c r="AE6" s="286"/>
      <c r="AF6" s="286" t="str">
        <f>IF(AND('Mapa final'!$H$12="Muy Alta",'Mapa final'!$L$12="Mayor"),CONCATENATE("R",'Mapa final'!$A$12),"")</f>
        <v/>
      </c>
      <c r="AG6" s="287"/>
      <c r="AH6" s="276" t="str">
        <f>IF(AND('Mapa final'!$H$10="Muy Alta",'Mapa final'!$L$10="Catastrófico"),CONCATENATE("R",'Mapa final'!$A$10),"")</f>
        <v/>
      </c>
      <c r="AI6" s="277"/>
      <c r="AJ6" s="277" t="str">
        <f>IF(AND('Mapa final'!$H$11="Muy Alta",'Mapa final'!$L$11="Catastrófico"),CONCATENATE("R",'Mapa final'!$A$11),"")</f>
        <v/>
      </c>
      <c r="AK6" s="277"/>
      <c r="AL6" s="277" t="str">
        <f>IF(AND('Mapa final'!$H$12="Muy Alta",'Mapa final'!$L$12="Catastrófico"),CONCATENATE("R",'Mapa final'!$A$12),"")</f>
        <v/>
      </c>
      <c r="AM6" s="278"/>
      <c r="AO6" s="301" t="s">
        <v>79</v>
      </c>
      <c r="AP6" s="302"/>
      <c r="AQ6" s="302"/>
      <c r="AR6" s="302"/>
      <c r="AS6" s="302"/>
      <c r="AT6" s="30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35">
      <c r="A7" s="83"/>
      <c r="B7" s="299"/>
      <c r="C7" s="299"/>
      <c r="D7" s="300"/>
      <c r="E7" s="292"/>
      <c r="F7" s="293"/>
      <c r="G7" s="293"/>
      <c r="H7" s="293"/>
      <c r="I7" s="294"/>
      <c r="J7" s="279"/>
      <c r="K7" s="280"/>
      <c r="L7" s="280"/>
      <c r="M7" s="280"/>
      <c r="N7" s="280"/>
      <c r="O7" s="281"/>
      <c r="P7" s="279"/>
      <c r="Q7" s="280"/>
      <c r="R7" s="280"/>
      <c r="S7" s="280"/>
      <c r="T7" s="280"/>
      <c r="U7" s="281"/>
      <c r="V7" s="279"/>
      <c r="W7" s="280"/>
      <c r="X7" s="280"/>
      <c r="Y7" s="280"/>
      <c r="Z7" s="280"/>
      <c r="AA7" s="281"/>
      <c r="AB7" s="279"/>
      <c r="AC7" s="280"/>
      <c r="AD7" s="280"/>
      <c r="AE7" s="280"/>
      <c r="AF7" s="280"/>
      <c r="AG7" s="281"/>
      <c r="AH7" s="270"/>
      <c r="AI7" s="271"/>
      <c r="AJ7" s="271"/>
      <c r="AK7" s="271"/>
      <c r="AL7" s="271"/>
      <c r="AM7" s="272"/>
      <c r="AN7" s="83"/>
      <c r="AO7" s="304"/>
      <c r="AP7" s="305"/>
      <c r="AQ7" s="305"/>
      <c r="AR7" s="305"/>
      <c r="AS7" s="305"/>
      <c r="AT7" s="30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35">
      <c r="A8" s="83"/>
      <c r="B8" s="299"/>
      <c r="C8" s="299"/>
      <c r="D8" s="300"/>
      <c r="E8" s="292"/>
      <c r="F8" s="293"/>
      <c r="G8" s="293"/>
      <c r="H8" s="293"/>
      <c r="I8" s="294"/>
      <c r="J8" s="279" t="str">
        <f>IF(AND('Mapa final'!$H$13="Muy Alta",'Mapa final'!$L$13="Leve"),CONCATENATE("R",'Mapa final'!$A$13),"")</f>
        <v/>
      </c>
      <c r="K8" s="280"/>
      <c r="L8" s="280" t="str">
        <f>IF(AND('Mapa final'!$H$14="Muy Alta",'Mapa final'!$L$14="Leve"),CONCATENATE("R",'Mapa final'!$A$14),"")</f>
        <v/>
      </c>
      <c r="M8" s="280"/>
      <c r="N8" s="280" t="str">
        <f>IF(AND('Mapa final'!$H$15="Muy Alta",'Mapa final'!$L$15="Leve"),CONCATENATE("R",'Mapa final'!$A$15),"")</f>
        <v/>
      </c>
      <c r="O8" s="281"/>
      <c r="P8" s="279" t="str">
        <f>IF(AND('Mapa final'!$H$13="Muy Alta",'Mapa final'!$L$13="Menor"),CONCATENATE("R",'Mapa final'!$A$13),"")</f>
        <v/>
      </c>
      <c r="Q8" s="280"/>
      <c r="R8" s="280" t="str">
        <f>IF(AND('Mapa final'!$H$14="Muy Alta",'Mapa final'!$L$14="Menor"),CONCATENATE("R",'Mapa final'!$A$14),"")</f>
        <v/>
      </c>
      <c r="S8" s="280"/>
      <c r="T8" s="280" t="str">
        <f>IF(AND('Mapa final'!$H$15="Muy Alta",'Mapa final'!$L$15="Menor"),CONCATENATE("R",'Mapa final'!$A$15),"")</f>
        <v/>
      </c>
      <c r="U8" s="281"/>
      <c r="V8" s="279" t="str">
        <f>IF(AND('Mapa final'!$H$13="Muy Alta",'Mapa final'!$L$13="Moderado"),CONCATENATE("R",'Mapa final'!$A$13),"")</f>
        <v/>
      </c>
      <c r="W8" s="280"/>
      <c r="X8" s="280" t="str">
        <f>IF(AND('Mapa final'!$H$14="Muy Alta",'Mapa final'!$L$14="Moderado"),CONCATENATE("R",'Mapa final'!$A$14),"")</f>
        <v/>
      </c>
      <c r="Y8" s="280"/>
      <c r="Z8" s="280" t="str">
        <f>IF(AND('Mapa final'!$H$15="Muy Alta",'Mapa final'!$L$15="Moderado"),CONCATENATE("R",'Mapa final'!$A$15),"")</f>
        <v/>
      </c>
      <c r="AA8" s="281"/>
      <c r="AB8" s="279" t="str">
        <f>IF(AND('Mapa final'!$H$13="Muy Alta",'Mapa final'!$L$13="Mayor"),CONCATENATE("R",'Mapa final'!$A$13),"")</f>
        <v/>
      </c>
      <c r="AC8" s="280"/>
      <c r="AD8" s="280" t="str">
        <f>IF(AND('Mapa final'!$H$14="Muy Alta",'Mapa final'!$L$14="Mayor"),CONCATENATE("R",'Mapa final'!$A$14),"")</f>
        <v/>
      </c>
      <c r="AE8" s="280"/>
      <c r="AF8" s="280" t="str">
        <f>IF(AND('Mapa final'!$H$15="Muy Alta",'Mapa final'!$L$15="Mayor"),CONCATENATE("R",'Mapa final'!$A$15),"")</f>
        <v/>
      </c>
      <c r="AG8" s="281"/>
      <c r="AH8" s="270" t="str">
        <f>IF(AND('Mapa final'!$H$13="Muy Alta",'Mapa final'!$L$13="Catastrófico"),CONCATENATE("R",'Mapa final'!$A$13),"")</f>
        <v/>
      </c>
      <c r="AI8" s="271"/>
      <c r="AJ8" s="271" t="str">
        <f>IF(AND('Mapa final'!$H$14="Muy Alta",'Mapa final'!$L$14="Catastrófico"),CONCATENATE("R",'Mapa final'!$A$14),"")</f>
        <v/>
      </c>
      <c r="AK8" s="271"/>
      <c r="AL8" s="271" t="str">
        <f>IF(AND('Mapa final'!$H$15="Muy Alta",'Mapa final'!$L$15="Catastrófico"),CONCATENATE("R",'Mapa final'!$A$15),"")</f>
        <v/>
      </c>
      <c r="AM8" s="272"/>
      <c r="AN8" s="83"/>
      <c r="AO8" s="304"/>
      <c r="AP8" s="305"/>
      <c r="AQ8" s="305"/>
      <c r="AR8" s="305"/>
      <c r="AS8" s="305"/>
      <c r="AT8" s="30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35">
      <c r="A9" s="83"/>
      <c r="B9" s="299"/>
      <c r="C9" s="299"/>
      <c r="D9" s="300"/>
      <c r="E9" s="292"/>
      <c r="F9" s="293"/>
      <c r="G9" s="293"/>
      <c r="H9" s="293"/>
      <c r="I9" s="294"/>
      <c r="J9" s="279"/>
      <c r="K9" s="280"/>
      <c r="L9" s="280"/>
      <c r="M9" s="280"/>
      <c r="N9" s="280"/>
      <c r="O9" s="281"/>
      <c r="P9" s="279"/>
      <c r="Q9" s="280"/>
      <c r="R9" s="280"/>
      <c r="S9" s="280"/>
      <c r="T9" s="280"/>
      <c r="U9" s="281"/>
      <c r="V9" s="279"/>
      <c r="W9" s="280"/>
      <c r="X9" s="280"/>
      <c r="Y9" s="280"/>
      <c r="Z9" s="280"/>
      <c r="AA9" s="281"/>
      <c r="AB9" s="279"/>
      <c r="AC9" s="280"/>
      <c r="AD9" s="280"/>
      <c r="AE9" s="280"/>
      <c r="AF9" s="280"/>
      <c r="AG9" s="281"/>
      <c r="AH9" s="270"/>
      <c r="AI9" s="271"/>
      <c r="AJ9" s="271"/>
      <c r="AK9" s="271"/>
      <c r="AL9" s="271"/>
      <c r="AM9" s="272"/>
      <c r="AN9" s="83"/>
      <c r="AO9" s="304"/>
      <c r="AP9" s="305"/>
      <c r="AQ9" s="305"/>
      <c r="AR9" s="305"/>
      <c r="AS9" s="305"/>
      <c r="AT9" s="30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35">
      <c r="A10" s="83"/>
      <c r="B10" s="299"/>
      <c r="C10" s="299"/>
      <c r="D10" s="300"/>
      <c r="E10" s="292"/>
      <c r="F10" s="293"/>
      <c r="G10" s="293"/>
      <c r="H10" s="293"/>
      <c r="I10" s="294"/>
      <c r="J10" s="279" t="str">
        <f>IF(AND('Mapa final'!$H$16="Muy Alta",'Mapa final'!$L$16="Leve"),CONCATENATE("R",'Mapa final'!$A$16),"")</f>
        <v/>
      </c>
      <c r="K10" s="280"/>
      <c r="L10" s="280" t="str">
        <f ca="1">IF(AND('Mapa final'!$H$17="Muy Alta",'Mapa final'!$L$17="Leve"),CONCATENATE("R",'Mapa final'!$A$17),"")</f>
        <v/>
      </c>
      <c r="M10" s="280"/>
      <c r="N10" s="280" t="str">
        <f ca="1">IF(AND('Mapa final'!$H$23="Muy Alta",'Mapa final'!$L$23="Leve"),CONCATENATE("R",'Mapa final'!$A$23),"")</f>
        <v/>
      </c>
      <c r="O10" s="281"/>
      <c r="P10" s="279" t="str">
        <f>IF(AND('Mapa final'!$H$16="Muy Alta",'Mapa final'!$L$16="Menor"),CONCATENATE("R",'Mapa final'!$A$16),"")</f>
        <v/>
      </c>
      <c r="Q10" s="280"/>
      <c r="R10" s="280" t="str">
        <f ca="1">IF(AND('Mapa final'!$H$17="Muy Alta",'Mapa final'!$L$17="Menor"),CONCATENATE("R",'Mapa final'!$A$17),"")</f>
        <v/>
      </c>
      <c r="S10" s="280"/>
      <c r="T10" s="280" t="str">
        <f ca="1">IF(AND('Mapa final'!$H$23="Muy Alta",'Mapa final'!$L$23="Menor"),CONCATENATE("R",'Mapa final'!$A$23),"")</f>
        <v/>
      </c>
      <c r="U10" s="281"/>
      <c r="V10" s="279" t="str">
        <f>IF(AND('Mapa final'!$H$16="Muy Alta",'Mapa final'!$L$16="Moderado"),CONCATENATE("R",'Mapa final'!$A$16),"")</f>
        <v/>
      </c>
      <c r="W10" s="280"/>
      <c r="X10" s="280" t="str">
        <f ca="1">IF(AND('Mapa final'!$H$17="Muy Alta",'Mapa final'!$L$17="Moderado"),CONCATENATE("R",'Mapa final'!$A$17),"")</f>
        <v/>
      </c>
      <c r="Y10" s="280"/>
      <c r="Z10" s="280" t="str">
        <f ca="1">IF(AND('Mapa final'!$H$23="Muy Alta",'Mapa final'!$L$23="Moderado"),CONCATENATE("R",'Mapa final'!$A$23),"")</f>
        <v/>
      </c>
      <c r="AA10" s="281"/>
      <c r="AB10" s="279" t="str">
        <f>IF(AND('Mapa final'!$H$16="Muy Alta",'Mapa final'!$L$16="Mayor"),CONCATENATE("R",'Mapa final'!$A$16),"")</f>
        <v/>
      </c>
      <c r="AC10" s="280"/>
      <c r="AD10" s="280" t="str">
        <f ca="1">IF(AND('Mapa final'!$H$17="Muy Alta",'Mapa final'!$L$17="Mayor"),CONCATENATE("R",'Mapa final'!$A$17),"")</f>
        <v/>
      </c>
      <c r="AE10" s="280"/>
      <c r="AF10" s="280" t="str">
        <f ca="1">IF(AND('Mapa final'!$H$23="Muy Alta",'Mapa final'!$L$23="Mayor"),CONCATENATE("R",'Mapa final'!$A$23),"")</f>
        <v/>
      </c>
      <c r="AG10" s="281"/>
      <c r="AH10" s="270" t="str">
        <f>IF(AND('Mapa final'!$H$16="Muy Alta",'Mapa final'!$L$16="Catastrófico"),CONCATENATE("R",'Mapa final'!$A$16),"")</f>
        <v/>
      </c>
      <c r="AI10" s="271"/>
      <c r="AJ10" s="271" t="str">
        <f ca="1">IF(AND('Mapa final'!$H$17="Muy Alta",'Mapa final'!$L$17="Catastrófico"),CONCATENATE("R",'Mapa final'!$A$17),"")</f>
        <v/>
      </c>
      <c r="AK10" s="271"/>
      <c r="AL10" s="271" t="str">
        <f ca="1">IF(AND('Mapa final'!$H$23="Muy Alta",'Mapa final'!$L$23="Catastrófico"),CONCATENATE("R",'Mapa final'!$A$23),"")</f>
        <v/>
      </c>
      <c r="AM10" s="272"/>
      <c r="AN10" s="83"/>
      <c r="AO10" s="304"/>
      <c r="AP10" s="305"/>
      <c r="AQ10" s="305"/>
      <c r="AR10" s="305"/>
      <c r="AS10" s="305"/>
      <c r="AT10" s="30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35">
      <c r="A11" s="83"/>
      <c r="B11" s="299"/>
      <c r="C11" s="299"/>
      <c r="D11" s="300"/>
      <c r="E11" s="292"/>
      <c r="F11" s="293"/>
      <c r="G11" s="293"/>
      <c r="H11" s="293"/>
      <c r="I11" s="294"/>
      <c r="J11" s="279"/>
      <c r="K11" s="280"/>
      <c r="L11" s="280"/>
      <c r="M11" s="280"/>
      <c r="N11" s="280"/>
      <c r="O11" s="281"/>
      <c r="P11" s="279"/>
      <c r="Q11" s="280"/>
      <c r="R11" s="280"/>
      <c r="S11" s="280"/>
      <c r="T11" s="280"/>
      <c r="U11" s="281"/>
      <c r="V11" s="279"/>
      <c r="W11" s="280"/>
      <c r="X11" s="280"/>
      <c r="Y11" s="280"/>
      <c r="Z11" s="280"/>
      <c r="AA11" s="281"/>
      <c r="AB11" s="279"/>
      <c r="AC11" s="280"/>
      <c r="AD11" s="280"/>
      <c r="AE11" s="280"/>
      <c r="AF11" s="280"/>
      <c r="AG11" s="281"/>
      <c r="AH11" s="270"/>
      <c r="AI11" s="271"/>
      <c r="AJ11" s="271"/>
      <c r="AK11" s="271"/>
      <c r="AL11" s="271"/>
      <c r="AM11" s="272"/>
      <c r="AN11" s="83"/>
      <c r="AO11" s="304"/>
      <c r="AP11" s="305"/>
      <c r="AQ11" s="305"/>
      <c r="AR11" s="305"/>
      <c r="AS11" s="305"/>
      <c r="AT11" s="30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35">
      <c r="A12" s="83"/>
      <c r="B12" s="299"/>
      <c r="C12" s="299"/>
      <c r="D12" s="300"/>
      <c r="E12" s="292"/>
      <c r="F12" s="293"/>
      <c r="G12" s="293"/>
      <c r="H12" s="293"/>
      <c r="I12" s="294"/>
      <c r="J12" s="279" t="str">
        <f ca="1">IF(AND('Mapa final'!$H$29="Muy Alta",'Mapa final'!$L$29="Leve"),CONCATENATE("R",'Mapa final'!$A$29),"")</f>
        <v/>
      </c>
      <c r="K12" s="280"/>
      <c r="L12" s="280" t="str">
        <f>IF(AND('Mapa final'!$H$35="Muy Alta",'Mapa final'!$L$35="Leve"),CONCATENATE("R",'Mapa final'!$A$35),"")</f>
        <v/>
      </c>
      <c r="M12" s="280"/>
      <c r="N12" s="280" t="str">
        <f>IF(AND('Mapa final'!$H$41="Muy Alta",'Mapa final'!$L$41="Leve"),CONCATENATE("R",'Mapa final'!$A$41),"")</f>
        <v/>
      </c>
      <c r="O12" s="281"/>
      <c r="P12" s="279" t="str">
        <f ca="1">IF(AND('Mapa final'!$H$29="Muy Alta",'Mapa final'!$L$29="Menor"),CONCATENATE("R",'Mapa final'!$A$29),"")</f>
        <v/>
      </c>
      <c r="Q12" s="280"/>
      <c r="R12" s="280" t="str">
        <f>IF(AND('Mapa final'!$H$35="Muy Alta",'Mapa final'!$L$35="Menor"),CONCATENATE("R",'Mapa final'!$A$35),"")</f>
        <v/>
      </c>
      <c r="S12" s="280"/>
      <c r="T12" s="280" t="str">
        <f>IF(AND('Mapa final'!$H$41="Muy Alta",'Mapa final'!$L$41="Menor"),CONCATENATE("R",'Mapa final'!$A$41),"")</f>
        <v/>
      </c>
      <c r="U12" s="281"/>
      <c r="V12" s="279" t="str">
        <f ca="1">IF(AND('Mapa final'!$H$29="Muy Alta",'Mapa final'!$L$29="Moderado"),CONCATENATE("R",'Mapa final'!$A$29),"")</f>
        <v/>
      </c>
      <c r="W12" s="280"/>
      <c r="X12" s="280" t="str">
        <f>IF(AND('Mapa final'!$H$35="Muy Alta",'Mapa final'!$L$35="Moderado"),CONCATENATE("R",'Mapa final'!$A$35),"")</f>
        <v/>
      </c>
      <c r="Y12" s="280"/>
      <c r="Z12" s="280" t="str">
        <f>IF(AND('Mapa final'!$H$41="Muy Alta",'Mapa final'!$L$41="Moderado"),CONCATENATE("R",'Mapa final'!$A$41),"")</f>
        <v/>
      </c>
      <c r="AA12" s="281"/>
      <c r="AB12" s="279" t="str">
        <f ca="1">IF(AND('Mapa final'!$H$29="Muy Alta",'Mapa final'!$L$29="Mayor"),CONCATENATE("R",'Mapa final'!$A$29),"")</f>
        <v/>
      </c>
      <c r="AC12" s="280"/>
      <c r="AD12" s="280" t="str">
        <f>IF(AND('Mapa final'!$H$35="Muy Alta",'Mapa final'!$L$35="Mayor"),CONCATENATE("R",'Mapa final'!$A$35),"")</f>
        <v/>
      </c>
      <c r="AE12" s="280"/>
      <c r="AF12" s="280" t="str">
        <f>IF(AND('Mapa final'!$H$41="Muy Alta",'Mapa final'!$L$41="Mayor"),CONCATENATE("R",'Mapa final'!$A$41),"")</f>
        <v/>
      </c>
      <c r="AG12" s="281"/>
      <c r="AH12" s="270" t="str">
        <f ca="1">IF(AND('Mapa final'!$H$29="Muy Alta",'Mapa final'!$L$29="Catastrófico"),CONCATENATE("R",'Mapa final'!$A$29),"")</f>
        <v/>
      </c>
      <c r="AI12" s="271"/>
      <c r="AJ12" s="271" t="str">
        <f>IF(AND('Mapa final'!$H$35="Muy Alta",'Mapa final'!$L$35="Catastrófico"),CONCATENATE("R",'Mapa final'!$A$35),"")</f>
        <v/>
      </c>
      <c r="AK12" s="271"/>
      <c r="AL12" s="271" t="str">
        <f>IF(AND('Mapa final'!$H$41="Muy Alta",'Mapa final'!$L$41="Catastrófico"),CONCATENATE("R",'Mapa final'!$A$41),"")</f>
        <v/>
      </c>
      <c r="AM12" s="272"/>
      <c r="AN12" s="83"/>
      <c r="AO12" s="304"/>
      <c r="AP12" s="305"/>
      <c r="AQ12" s="305"/>
      <c r="AR12" s="305"/>
      <c r="AS12" s="305"/>
      <c r="AT12" s="30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4">
      <c r="A13" s="83"/>
      <c r="B13" s="299"/>
      <c r="C13" s="299"/>
      <c r="D13" s="300"/>
      <c r="E13" s="295"/>
      <c r="F13" s="296"/>
      <c r="G13" s="296"/>
      <c r="H13" s="296"/>
      <c r="I13" s="297"/>
      <c r="J13" s="279"/>
      <c r="K13" s="280"/>
      <c r="L13" s="280"/>
      <c r="M13" s="280"/>
      <c r="N13" s="280"/>
      <c r="O13" s="281"/>
      <c r="P13" s="279"/>
      <c r="Q13" s="280"/>
      <c r="R13" s="280"/>
      <c r="S13" s="280"/>
      <c r="T13" s="280"/>
      <c r="U13" s="281"/>
      <c r="V13" s="279"/>
      <c r="W13" s="280"/>
      <c r="X13" s="280"/>
      <c r="Y13" s="280"/>
      <c r="Z13" s="280"/>
      <c r="AA13" s="281"/>
      <c r="AB13" s="279"/>
      <c r="AC13" s="280"/>
      <c r="AD13" s="280"/>
      <c r="AE13" s="280"/>
      <c r="AF13" s="280"/>
      <c r="AG13" s="281"/>
      <c r="AH13" s="273"/>
      <c r="AI13" s="274"/>
      <c r="AJ13" s="274"/>
      <c r="AK13" s="274"/>
      <c r="AL13" s="274"/>
      <c r="AM13" s="275"/>
      <c r="AN13" s="83"/>
      <c r="AO13" s="307"/>
      <c r="AP13" s="308"/>
      <c r="AQ13" s="308"/>
      <c r="AR13" s="308"/>
      <c r="AS13" s="308"/>
      <c r="AT13" s="30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35">
      <c r="A14" s="83"/>
      <c r="B14" s="299"/>
      <c r="C14" s="299"/>
      <c r="D14" s="300"/>
      <c r="E14" s="289" t="s">
        <v>115</v>
      </c>
      <c r="F14" s="290"/>
      <c r="G14" s="290"/>
      <c r="H14" s="290"/>
      <c r="I14" s="290"/>
      <c r="J14" s="267" t="str">
        <f>IF(AND('Mapa final'!$H$10="Alta",'Mapa final'!$L$10="Leve"),CONCATENATE("R",'Mapa final'!$A$10),"")</f>
        <v/>
      </c>
      <c r="K14" s="268"/>
      <c r="L14" s="268" t="str">
        <f>IF(AND('Mapa final'!$H$11="Alta",'Mapa final'!$L$11="Leve"),CONCATENATE("R",'Mapa final'!$A$11),"")</f>
        <v/>
      </c>
      <c r="M14" s="268"/>
      <c r="N14" s="268" t="str">
        <f>IF(AND('Mapa final'!$H$12="Alta",'Mapa final'!$L$12="Leve"),CONCATENATE("R",'Mapa final'!$A$12),"")</f>
        <v/>
      </c>
      <c r="O14" s="269"/>
      <c r="P14" s="267" t="str">
        <f>IF(AND('Mapa final'!$H$10="Alta",'Mapa final'!$L$10="Menor"),CONCATENATE("R",'Mapa final'!$A$10),"")</f>
        <v/>
      </c>
      <c r="Q14" s="268"/>
      <c r="R14" s="268" t="str">
        <f>IF(AND('Mapa final'!$H$11="Alta",'Mapa final'!$L$11="Menor"),CONCATENATE("R",'Mapa final'!$A$11),"")</f>
        <v/>
      </c>
      <c r="S14" s="268"/>
      <c r="T14" s="268" t="str">
        <f>IF(AND('Mapa final'!$H$12="Alta",'Mapa final'!$L$12="Menor"),CONCATENATE("R",'Mapa final'!$A$12),"")</f>
        <v/>
      </c>
      <c r="U14" s="269"/>
      <c r="V14" s="285" t="str">
        <f>IF(AND('Mapa final'!$H$10="Alta",'Mapa final'!$L$10="Moderado"),CONCATENATE("R",'Mapa final'!$A$10),"")</f>
        <v/>
      </c>
      <c r="W14" s="286"/>
      <c r="X14" s="286" t="str">
        <f>IF(AND('Mapa final'!$H$11="Alta",'Mapa final'!$L$11="Moderado"),CONCATENATE("R",'Mapa final'!$A$11),"")</f>
        <v/>
      </c>
      <c r="Y14" s="286"/>
      <c r="Z14" s="286" t="str">
        <f>IF(AND('Mapa final'!$H$12="Alta",'Mapa final'!$L$12="Moderado"),CONCATENATE("R",'Mapa final'!$A$12),"")</f>
        <v>R3</v>
      </c>
      <c r="AA14" s="287"/>
      <c r="AB14" s="285" t="str">
        <f>IF(AND('Mapa final'!$H$10="Alta",'Mapa final'!$L$10="Mayor"),CONCATENATE("R",'Mapa final'!$A$10),"")</f>
        <v/>
      </c>
      <c r="AC14" s="286"/>
      <c r="AD14" s="286" t="str">
        <f>IF(AND('Mapa final'!$H$11="Alta",'Mapa final'!$L$11="Mayor"),CONCATENATE("R",'Mapa final'!$A$11),"")</f>
        <v/>
      </c>
      <c r="AE14" s="286"/>
      <c r="AF14" s="286" t="str">
        <f>IF(AND('Mapa final'!$H$12="Alta",'Mapa final'!$L$12="Mayor"),CONCATENATE("R",'Mapa final'!$A$12),"")</f>
        <v/>
      </c>
      <c r="AG14" s="287"/>
      <c r="AH14" s="276" t="str">
        <f>IF(AND('Mapa final'!$H$10="Alta",'Mapa final'!$L$10="Catastrófico"),CONCATENATE("R",'Mapa final'!$A$10),"")</f>
        <v/>
      </c>
      <c r="AI14" s="277"/>
      <c r="AJ14" s="277" t="str">
        <f>IF(AND('Mapa final'!$H$11="Alta",'Mapa final'!$L$11="Catastrófico"),CONCATENATE("R",'Mapa final'!$A$11),"")</f>
        <v/>
      </c>
      <c r="AK14" s="277"/>
      <c r="AL14" s="277" t="str">
        <f>IF(AND('Mapa final'!$H$12="Alta",'Mapa final'!$L$12="Catastrófico"),CONCATENATE("R",'Mapa final'!$A$12),"")</f>
        <v/>
      </c>
      <c r="AM14" s="278"/>
      <c r="AN14" s="83"/>
      <c r="AO14" s="310" t="s">
        <v>80</v>
      </c>
      <c r="AP14" s="311"/>
      <c r="AQ14" s="311"/>
      <c r="AR14" s="311"/>
      <c r="AS14" s="311"/>
      <c r="AT14" s="31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35">
      <c r="A15" s="83"/>
      <c r="B15" s="299"/>
      <c r="C15" s="299"/>
      <c r="D15" s="300"/>
      <c r="E15" s="292"/>
      <c r="F15" s="293"/>
      <c r="G15" s="293"/>
      <c r="H15" s="293"/>
      <c r="I15" s="293"/>
      <c r="J15" s="261"/>
      <c r="K15" s="262"/>
      <c r="L15" s="262"/>
      <c r="M15" s="262"/>
      <c r="N15" s="262"/>
      <c r="O15" s="263"/>
      <c r="P15" s="261"/>
      <c r="Q15" s="262"/>
      <c r="R15" s="262"/>
      <c r="S15" s="262"/>
      <c r="T15" s="262"/>
      <c r="U15" s="263"/>
      <c r="V15" s="279"/>
      <c r="W15" s="280"/>
      <c r="X15" s="280"/>
      <c r="Y15" s="280"/>
      <c r="Z15" s="280"/>
      <c r="AA15" s="281"/>
      <c r="AB15" s="279"/>
      <c r="AC15" s="280"/>
      <c r="AD15" s="280"/>
      <c r="AE15" s="280"/>
      <c r="AF15" s="280"/>
      <c r="AG15" s="281"/>
      <c r="AH15" s="270"/>
      <c r="AI15" s="271"/>
      <c r="AJ15" s="271"/>
      <c r="AK15" s="271"/>
      <c r="AL15" s="271"/>
      <c r="AM15" s="272"/>
      <c r="AN15" s="83"/>
      <c r="AO15" s="313"/>
      <c r="AP15" s="314"/>
      <c r="AQ15" s="314"/>
      <c r="AR15" s="314"/>
      <c r="AS15" s="314"/>
      <c r="AT15" s="31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35">
      <c r="A16" s="83"/>
      <c r="B16" s="299"/>
      <c r="C16" s="299"/>
      <c r="D16" s="300"/>
      <c r="E16" s="292"/>
      <c r="F16" s="293"/>
      <c r="G16" s="293"/>
      <c r="H16" s="293"/>
      <c r="I16" s="293"/>
      <c r="J16" s="261" t="str">
        <f>IF(AND('Mapa final'!$H$13="Alta",'Mapa final'!$L$13="Leve"),CONCATENATE("R",'Mapa final'!$A$13),"")</f>
        <v/>
      </c>
      <c r="K16" s="262"/>
      <c r="L16" s="262" t="str">
        <f>IF(AND('Mapa final'!$H$14="Alta",'Mapa final'!$L$14="Leve"),CONCATENATE("R",'Mapa final'!$A$14),"")</f>
        <v/>
      </c>
      <c r="M16" s="262"/>
      <c r="N16" s="262" t="str">
        <f>IF(AND('Mapa final'!$H$15="Alta",'Mapa final'!$L$15="Leve"),CONCATENATE("R",'Mapa final'!$A$15),"")</f>
        <v/>
      </c>
      <c r="O16" s="263"/>
      <c r="P16" s="261" t="str">
        <f>IF(AND('Mapa final'!$H$13="Alta",'Mapa final'!$L$13="Menor"),CONCATENATE("R",'Mapa final'!$A$13),"")</f>
        <v/>
      </c>
      <c r="Q16" s="262"/>
      <c r="R16" s="262" t="str">
        <f>IF(AND('Mapa final'!$H$14="Alta",'Mapa final'!$L$14="Menor"),CONCATENATE("R",'Mapa final'!$A$14),"")</f>
        <v/>
      </c>
      <c r="S16" s="262"/>
      <c r="T16" s="262" t="str">
        <f>IF(AND('Mapa final'!$H$15="Alta",'Mapa final'!$L$15="Menor"),CONCATENATE("R",'Mapa final'!$A$15),"")</f>
        <v/>
      </c>
      <c r="U16" s="263"/>
      <c r="V16" s="279" t="str">
        <f>IF(AND('Mapa final'!$H$13="Alta",'Mapa final'!$L$13="Moderado"),CONCATENATE("R",'Mapa final'!$A$13),"")</f>
        <v/>
      </c>
      <c r="W16" s="280"/>
      <c r="X16" s="280" t="str">
        <f>IF(AND('Mapa final'!$H$14="Alta",'Mapa final'!$L$14="Moderado"),CONCATENATE("R",'Mapa final'!$A$14),"")</f>
        <v/>
      </c>
      <c r="Y16" s="280"/>
      <c r="Z16" s="280" t="str">
        <f>IF(AND('Mapa final'!$H$15="Alta",'Mapa final'!$L$15="Moderado"),CONCATENATE("R",'Mapa final'!$A$15),"")</f>
        <v/>
      </c>
      <c r="AA16" s="281"/>
      <c r="AB16" s="279" t="str">
        <f>IF(AND('Mapa final'!$H$13="Alta",'Mapa final'!$L$13="Mayor"),CONCATENATE("R",'Mapa final'!$A$13),"")</f>
        <v/>
      </c>
      <c r="AC16" s="280"/>
      <c r="AD16" s="280" t="str">
        <f>IF(AND('Mapa final'!$H$14="Alta",'Mapa final'!$L$14="Mayor"),CONCATENATE("R",'Mapa final'!$A$14),"")</f>
        <v>R5</v>
      </c>
      <c r="AE16" s="280"/>
      <c r="AF16" s="280" t="str">
        <f>IF(AND('Mapa final'!$H$15="Alta",'Mapa final'!$L$15="Mayor"),CONCATENATE("R",'Mapa final'!$A$15),"")</f>
        <v/>
      </c>
      <c r="AG16" s="281"/>
      <c r="AH16" s="270" t="str">
        <f>IF(AND('Mapa final'!$H$13="Alta",'Mapa final'!$L$13="Catastrófico"),CONCATENATE("R",'Mapa final'!$A$13),"")</f>
        <v/>
      </c>
      <c r="AI16" s="271"/>
      <c r="AJ16" s="271" t="str">
        <f>IF(AND('Mapa final'!$H$14="Alta",'Mapa final'!$L$14="Catastrófico"),CONCATENATE("R",'Mapa final'!$A$14),"")</f>
        <v/>
      </c>
      <c r="AK16" s="271"/>
      <c r="AL16" s="271" t="str">
        <f>IF(AND('Mapa final'!$H$15="Alta",'Mapa final'!$L$15="Catastrófico"),CONCATENATE("R",'Mapa final'!$A$15),"")</f>
        <v/>
      </c>
      <c r="AM16" s="272"/>
      <c r="AN16" s="83"/>
      <c r="AO16" s="313"/>
      <c r="AP16" s="314"/>
      <c r="AQ16" s="314"/>
      <c r="AR16" s="314"/>
      <c r="AS16" s="314"/>
      <c r="AT16" s="31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35">
      <c r="A17" s="83"/>
      <c r="B17" s="299"/>
      <c r="C17" s="299"/>
      <c r="D17" s="300"/>
      <c r="E17" s="292"/>
      <c r="F17" s="293"/>
      <c r="G17" s="293"/>
      <c r="H17" s="293"/>
      <c r="I17" s="293"/>
      <c r="J17" s="261"/>
      <c r="K17" s="262"/>
      <c r="L17" s="262"/>
      <c r="M17" s="262"/>
      <c r="N17" s="262"/>
      <c r="O17" s="263"/>
      <c r="P17" s="261"/>
      <c r="Q17" s="262"/>
      <c r="R17" s="262"/>
      <c r="S17" s="262"/>
      <c r="T17" s="262"/>
      <c r="U17" s="263"/>
      <c r="V17" s="279"/>
      <c r="W17" s="280"/>
      <c r="X17" s="280"/>
      <c r="Y17" s="280"/>
      <c r="Z17" s="280"/>
      <c r="AA17" s="281"/>
      <c r="AB17" s="279"/>
      <c r="AC17" s="280"/>
      <c r="AD17" s="280"/>
      <c r="AE17" s="280"/>
      <c r="AF17" s="280"/>
      <c r="AG17" s="281"/>
      <c r="AH17" s="270"/>
      <c r="AI17" s="271"/>
      <c r="AJ17" s="271"/>
      <c r="AK17" s="271"/>
      <c r="AL17" s="271"/>
      <c r="AM17" s="272"/>
      <c r="AN17" s="83"/>
      <c r="AO17" s="313"/>
      <c r="AP17" s="314"/>
      <c r="AQ17" s="314"/>
      <c r="AR17" s="314"/>
      <c r="AS17" s="314"/>
      <c r="AT17" s="31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35">
      <c r="A18" s="83"/>
      <c r="B18" s="299"/>
      <c r="C18" s="299"/>
      <c r="D18" s="300"/>
      <c r="E18" s="292"/>
      <c r="F18" s="293"/>
      <c r="G18" s="293"/>
      <c r="H18" s="293"/>
      <c r="I18" s="293"/>
      <c r="J18" s="261" t="str">
        <f>IF(AND('Mapa final'!$H$16="Alta",'Mapa final'!$L$16="Leve"),CONCATENATE("R",'Mapa final'!$A$16),"")</f>
        <v/>
      </c>
      <c r="K18" s="262"/>
      <c r="L18" s="262" t="str">
        <f ca="1">IF(AND('Mapa final'!$H$17="Alta",'Mapa final'!$L$17="Leve"),CONCATENATE("R",'Mapa final'!$A$17),"")</f>
        <v/>
      </c>
      <c r="M18" s="262"/>
      <c r="N18" s="262" t="str">
        <f ca="1">IF(AND('Mapa final'!$H$23="Alta",'Mapa final'!$L$23="Leve"),CONCATENATE("R",'Mapa final'!$A$23),"")</f>
        <v/>
      </c>
      <c r="O18" s="263"/>
      <c r="P18" s="261" t="str">
        <f>IF(AND('Mapa final'!$H$16="Alta",'Mapa final'!$L$16="Menor"),CONCATENATE("R",'Mapa final'!$A$16),"")</f>
        <v/>
      </c>
      <c r="Q18" s="262"/>
      <c r="R18" s="262" t="str">
        <f ca="1">IF(AND('Mapa final'!$H$17="Alta",'Mapa final'!$L$17="Menor"),CONCATENATE("R",'Mapa final'!$A$17),"")</f>
        <v/>
      </c>
      <c r="S18" s="262"/>
      <c r="T18" s="262" t="str">
        <f ca="1">IF(AND('Mapa final'!$H$23="Alta",'Mapa final'!$L$23="Menor"),CONCATENATE("R",'Mapa final'!$A$23),"")</f>
        <v/>
      </c>
      <c r="U18" s="263"/>
      <c r="V18" s="279" t="str">
        <f>IF(AND('Mapa final'!$H$16="Alta",'Mapa final'!$L$16="Moderado"),CONCATENATE("R",'Mapa final'!$A$16),"")</f>
        <v/>
      </c>
      <c r="W18" s="280"/>
      <c r="X18" s="280" t="str">
        <f ca="1">IF(AND('Mapa final'!$H$17="Alta",'Mapa final'!$L$17="Moderado"),CONCATENATE("R",'Mapa final'!$A$17),"")</f>
        <v/>
      </c>
      <c r="Y18" s="280"/>
      <c r="Z18" s="280" t="str">
        <f ca="1">IF(AND('Mapa final'!$H$23="Alta",'Mapa final'!$L$23="Moderado"),CONCATENATE("R",'Mapa final'!$A$23),"")</f>
        <v/>
      </c>
      <c r="AA18" s="281"/>
      <c r="AB18" s="279" t="str">
        <f>IF(AND('Mapa final'!$H$16="Alta",'Mapa final'!$L$16="Mayor"),CONCATENATE("R",'Mapa final'!$A$16),"")</f>
        <v/>
      </c>
      <c r="AC18" s="280"/>
      <c r="AD18" s="280" t="str">
        <f ca="1">IF(AND('Mapa final'!$H$17="Alta",'Mapa final'!$L$17="Mayor"),CONCATENATE("R",'Mapa final'!$A$17),"")</f>
        <v/>
      </c>
      <c r="AE18" s="280"/>
      <c r="AF18" s="280" t="str">
        <f ca="1">IF(AND('Mapa final'!$H$23="Alta",'Mapa final'!$L$23="Mayor"),CONCATENATE("R",'Mapa final'!$A$23),"")</f>
        <v/>
      </c>
      <c r="AG18" s="281"/>
      <c r="AH18" s="270" t="str">
        <f>IF(AND('Mapa final'!$H$16="Alta",'Mapa final'!$L$16="Catastrófico"),CONCATENATE("R",'Mapa final'!$A$16),"")</f>
        <v/>
      </c>
      <c r="AI18" s="271"/>
      <c r="AJ18" s="271" t="str">
        <f ca="1">IF(AND('Mapa final'!$H$17="Alta",'Mapa final'!$L$17="Catastrófico"),CONCATENATE("R",'Mapa final'!$A$17),"")</f>
        <v/>
      </c>
      <c r="AK18" s="271"/>
      <c r="AL18" s="271" t="str">
        <f ca="1">IF(AND('Mapa final'!$H$23="Alta",'Mapa final'!$L$23="Catastrófico"),CONCATENATE("R",'Mapa final'!$A$23),"")</f>
        <v/>
      </c>
      <c r="AM18" s="272"/>
      <c r="AN18" s="83"/>
      <c r="AO18" s="313"/>
      <c r="AP18" s="314"/>
      <c r="AQ18" s="314"/>
      <c r="AR18" s="314"/>
      <c r="AS18" s="314"/>
      <c r="AT18" s="31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35">
      <c r="A19" s="83"/>
      <c r="B19" s="299"/>
      <c r="C19" s="299"/>
      <c r="D19" s="300"/>
      <c r="E19" s="292"/>
      <c r="F19" s="293"/>
      <c r="G19" s="293"/>
      <c r="H19" s="293"/>
      <c r="I19" s="293"/>
      <c r="J19" s="261"/>
      <c r="K19" s="262"/>
      <c r="L19" s="262"/>
      <c r="M19" s="262"/>
      <c r="N19" s="262"/>
      <c r="O19" s="263"/>
      <c r="P19" s="261"/>
      <c r="Q19" s="262"/>
      <c r="R19" s="262"/>
      <c r="S19" s="262"/>
      <c r="T19" s="262"/>
      <c r="U19" s="263"/>
      <c r="V19" s="279"/>
      <c r="W19" s="280"/>
      <c r="X19" s="280"/>
      <c r="Y19" s="280"/>
      <c r="Z19" s="280"/>
      <c r="AA19" s="281"/>
      <c r="AB19" s="279"/>
      <c r="AC19" s="280"/>
      <c r="AD19" s="280"/>
      <c r="AE19" s="280"/>
      <c r="AF19" s="280"/>
      <c r="AG19" s="281"/>
      <c r="AH19" s="270"/>
      <c r="AI19" s="271"/>
      <c r="AJ19" s="271"/>
      <c r="AK19" s="271"/>
      <c r="AL19" s="271"/>
      <c r="AM19" s="272"/>
      <c r="AN19" s="83"/>
      <c r="AO19" s="313"/>
      <c r="AP19" s="314"/>
      <c r="AQ19" s="314"/>
      <c r="AR19" s="314"/>
      <c r="AS19" s="314"/>
      <c r="AT19" s="31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35">
      <c r="A20" s="83"/>
      <c r="B20" s="299"/>
      <c r="C20" s="299"/>
      <c r="D20" s="300"/>
      <c r="E20" s="292"/>
      <c r="F20" s="293"/>
      <c r="G20" s="293"/>
      <c r="H20" s="293"/>
      <c r="I20" s="293"/>
      <c r="J20" s="261" t="str">
        <f ca="1">IF(AND('Mapa final'!$H$29="Alta",'Mapa final'!$L$29="Leve"),CONCATENATE("R",'Mapa final'!$A$29),"")</f>
        <v/>
      </c>
      <c r="K20" s="262"/>
      <c r="L20" s="262" t="str">
        <f>IF(AND('Mapa final'!$H$35="Alta",'Mapa final'!$L$35="Leve"),CONCATENATE("R",'Mapa final'!$A$35),"")</f>
        <v/>
      </c>
      <c r="M20" s="262"/>
      <c r="N20" s="262" t="str">
        <f>IF(AND('Mapa final'!$H$41="Alta",'Mapa final'!$L$41="Leve"),CONCATENATE("R",'Mapa final'!$A$41),"")</f>
        <v/>
      </c>
      <c r="O20" s="263"/>
      <c r="P20" s="261" t="str">
        <f ca="1">IF(AND('Mapa final'!$H$29="Alta",'Mapa final'!$L$29="Menor"),CONCATENATE("R",'Mapa final'!$A$29),"")</f>
        <v/>
      </c>
      <c r="Q20" s="262"/>
      <c r="R20" s="262" t="str">
        <f>IF(AND('Mapa final'!$H$35="Alta",'Mapa final'!$L$35="Menor"),CONCATENATE("R",'Mapa final'!$A$35),"")</f>
        <v/>
      </c>
      <c r="S20" s="262"/>
      <c r="T20" s="262" t="str">
        <f>IF(AND('Mapa final'!$H$41="Alta",'Mapa final'!$L$41="Menor"),CONCATENATE("R",'Mapa final'!$A$41),"")</f>
        <v/>
      </c>
      <c r="U20" s="263"/>
      <c r="V20" s="279" t="str">
        <f ca="1">IF(AND('Mapa final'!$H$29="Alta",'Mapa final'!$L$29="Moderado"),CONCATENATE("R",'Mapa final'!$A$29),"")</f>
        <v/>
      </c>
      <c r="W20" s="280"/>
      <c r="X20" s="280" t="str">
        <f>IF(AND('Mapa final'!$H$35="Alta",'Mapa final'!$L$35="Moderado"),CONCATENATE("R",'Mapa final'!$A$35),"")</f>
        <v/>
      </c>
      <c r="Y20" s="280"/>
      <c r="Z20" s="280" t="str">
        <f>IF(AND('Mapa final'!$H$41="Alta",'Mapa final'!$L$41="Moderado"),CONCATENATE("R",'Mapa final'!$A$41),"")</f>
        <v/>
      </c>
      <c r="AA20" s="281"/>
      <c r="AB20" s="279" t="str">
        <f ca="1">IF(AND('Mapa final'!$H$29="Alta",'Mapa final'!$L$29="Mayor"),CONCATENATE("R",'Mapa final'!$A$29),"")</f>
        <v/>
      </c>
      <c r="AC20" s="280"/>
      <c r="AD20" s="280" t="str">
        <f>IF(AND('Mapa final'!$H$35="Alta",'Mapa final'!$L$35="Mayor"),CONCATENATE("R",'Mapa final'!$A$35),"")</f>
        <v/>
      </c>
      <c r="AE20" s="280"/>
      <c r="AF20" s="280" t="str">
        <f>IF(AND('Mapa final'!$H$41="Alta",'Mapa final'!$L$41="Mayor"),CONCATENATE("R",'Mapa final'!$A$41),"")</f>
        <v/>
      </c>
      <c r="AG20" s="281"/>
      <c r="AH20" s="270" t="str">
        <f ca="1">IF(AND('Mapa final'!$H$29="Alta",'Mapa final'!$L$29="Catastrófico"),CONCATENATE("R",'Mapa final'!$A$29),"")</f>
        <v/>
      </c>
      <c r="AI20" s="271"/>
      <c r="AJ20" s="271" t="str">
        <f>IF(AND('Mapa final'!$H$35="Alta",'Mapa final'!$L$35="Catastrófico"),CONCATENATE("R",'Mapa final'!$A$35),"")</f>
        <v/>
      </c>
      <c r="AK20" s="271"/>
      <c r="AL20" s="271" t="str">
        <f>IF(AND('Mapa final'!$H$41="Alta",'Mapa final'!$L$41="Catastrófico"),CONCATENATE("R",'Mapa final'!$A$41),"")</f>
        <v/>
      </c>
      <c r="AM20" s="272"/>
      <c r="AN20" s="83"/>
      <c r="AO20" s="313"/>
      <c r="AP20" s="314"/>
      <c r="AQ20" s="314"/>
      <c r="AR20" s="314"/>
      <c r="AS20" s="314"/>
      <c r="AT20" s="31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4">
      <c r="A21" s="83"/>
      <c r="B21" s="299"/>
      <c r="C21" s="299"/>
      <c r="D21" s="300"/>
      <c r="E21" s="295"/>
      <c r="F21" s="296"/>
      <c r="G21" s="296"/>
      <c r="H21" s="296"/>
      <c r="I21" s="296"/>
      <c r="J21" s="264"/>
      <c r="K21" s="265"/>
      <c r="L21" s="265"/>
      <c r="M21" s="265"/>
      <c r="N21" s="265"/>
      <c r="O21" s="266"/>
      <c r="P21" s="264"/>
      <c r="Q21" s="265"/>
      <c r="R21" s="265"/>
      <c r="S21" s="265"/>
      <c r="T21" s="265"/>
      <c r="U21" s="266"/>
      <c r="V21" s="282"/>
      <c r="W21" s="283"/>
      <c r="X21" s="283"/>
      <c r="Y21" s="283"/>
      <c r="Z21" s="283"/>
      <c r="AA21" s="284"/>
      <c r="AB21" s="282"/>
      <c r="AC21" s="283"/>
      <c r="AD21" s="283"/>
      <c r="AE21" s="283"/>
      <c r="AF21" s="283"/>
      <c r="AG21" s="284"/>
      <c r="AH21" s="273"/>
      <c r="AI21" s="274"/>
      <c r="AJ21" s="274"/>
      <c r="AK21" s="274"/>
      <c r="AL21" s="274"/>
      <c r="AM21" s="275"/>
      <c r="AN21" s="83"/>
      <c r="AO21" s="316"/>
      <c r="AP21" s="317"/>
      <c r="AQ21" s="317"/>
      <c r="AR21" s="317"/>
      <c r="AS21" s="317"/>
      <c r="AT21" s="31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35">
      <c r="A22" s="83"/>
      <c r="B22" s="299"/>
      <c r="C22" s="299"/>
      <c r="D22" s="300"/>
      <c r="E22" s="289" t="s">
        <v>117</v>
      </c>
      <c r="F22" s="290"/>
      <c r="G22" s="290"/>
      <c r="H22" s="290"/>
      <c r="I22" s="291"/>
      <c r="J22" s="267" t="str">
        <f>IF(AND('Mapa final'!$H$10="Media",'Mapa final'!$L$10="Leve"),CONCATENATE("R",'Mapa final'!$A$10),"")</f>
        <v/>
      </c>
      <c r="K22" s="268"/>
      <c r="L22" s="268" t="str">
        <f>IF(AND('Mapa final'!$H$11="Media",'Mapa final'!$L$11="Leve"),CONCATENATE("R",'Mapa final'!$A$11),"")</f>
        <v/>
      </c>
      <c r="M22" s="268"/>
      <c r="N22" s="268" t="str">
        <f>IF(AND('Mapa final'!$H$12="Media",'Mapa final'!$L$12="Leve"),CONCATENATE("R",'Mapa final'!$A$12),"")</f>
        <v/>
      </c>
      <c r="O22" s="269"/>
      <c r="P22" s="267" t="str">
        <f>IF(AND('Mapa final'!$H$10="Media",'Mapa final'!$L$10="Menor"),CONCATENATE("R",'Mapa final'!$A$10),"")</f>
        <v/>
      </c>
      <c r="Q22" s="268"/>
      <c r="R22" s="268" t="str">
        <f>IF(AND('Mapa final'!$H$11="Media",'Mapa final'!$L$11="Menor"),CONCATENATE("R",'Mapa final'!$A$11),"")</f>
        <v/>
      </c>
      <c r="S22" s="268"/>
      <c r="T22" s="268" t="str">
        <f>IF(AND('Mapa final'!$H$12="Media",'Mapa final'!$L$12="Menor"),CONCATENATE("R",'Mapa final'!$A$12),"")</f>
        <v/>
      </c>
      <c r="U22" s="269"/>
      <c r="V22" s="267" t="str">
        <f>IF(AND('Mapa final'!$H$10="Media",'Mapa final'!$L$10="Moderado"),CONCATENATE("R",'Mapa final'!$A$10),"")</f>
        <v/>
      </c>
      <c r="W22" s="268"/>
      <c r="X22" s="268" t="str">
        <f>IF(AND('Mapa final'!$H$11="Media",'Mapa final'!$L$11="Moderado"),CONCATENATE("R",'Mapa final'!$A$11),"")</f>
        <v>R2</v>
      </c>
      <c r="Y22" s="268"/>
      <c r="Z22" s="268" t="str">
        <f>IF(AND('Mapa final'!$H$12="Media",'Mapa final'!$L$12="Moderado"),CONCATENATE("R",'Mapa final'!$A$12),"")</f>
        <v/>
      </c>
      <c r="AA22" s="269"/>
      <c r="AB22" s="285" t="str">
        <f>IF(AND('Mapa final'!$H$10="Media",'Mapa final'!$L$10="Mayor"),CONCATENATE("R",'Mapa final'!$A$10),"")</f>
        <v>R1</v>
      </c>
      <c r="AC22" s="286"/>
      <c r="AD22" s="286" t="str">
        <f>IF(AND('Mapa final'!$H$11="Media",'Mapa final'!$L$11="Mayor"),CONCATENATE("R",'Mapa final'!$A$11),"")</f>
        <v/>
      </c>
      <c r="AE22" s="286"/>
      <c r="AF22" s="286" t="str">
        <f>IF(AND('Mapa final'!$H$12="Media",'Mapa final'!$L$12="Mayor"),CONCATENATE("R",'Mapa final'!$A$12),"")</f>
        <v/>
      </c>
      <c r="AG22" s="287"/>
      <c r="AH22" s="276" t="str">
        <f>IF(AND('Mapa final'!$H$10="Media",'Mapa final'!$L$10="Catastrófico"),CONCATENATE("R",'Mapa final'!$A$10),"")</f>
        <v/>
      </c>
      <c r="AI22" s="277"/>
      <c r="AJ22" s="277" t="str">
        <f>IF(AND('Mapa final'!$H$11="Media",'Mapa final'!$L$11="Catastrófico"),CONCATENATE("R",'Mapa final'!$A$11),"")</f>
        <v/>
      </c>
      <c r="AK22" s="277"/>
      <c r="AL22" s="277" t="str">
        <f>IF(AND('Mapa final'!$H$12="Media",'Mapa final'!$L$12="Catastrófico"),CONCATENATE("R",'Mapa final'!$A$12),"")</f>
        <v/>
      </c>
      <c r="AM22" s="278"/>
      <c r="AN22" s="83"/>
      <c r="AO22" s="319" t="s">
        <v>81</v>
      </c>
      <c r="AP22" s="320"/>
      <c r="AQ22" s="320"/>
      <c r="AR22" s="320"/>
      <c r="AS22" s="320"/>
      <c r="AT22" s="32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35">
      <c r="A23" s="83"/>
      <c r="B23" s="299"/>
      <c r="C23" s="299"/>
      <c r="D23" s="300"/>
      <c r="E23" s="292"/>
      <c r="F23" s="293"/>
      <c r="G23" s="293"/>
      <c r="H23" s="293"/>
      <c r="I23" s="294"/>
      <c r="J23" s="261"/>
      <c r="K23" s="262"/>
      <c r="L23" s="262"/>
      <c r="M23" s="262"/>
      <c r="N23" s="262"/>
      <c r="O23" s="263"/>
      <c r="P23" s="261"/>
      <c r="Q23" s="262"/>
      <c r="R23" s="262"/>
      <c r="S23" s="262"/>
      <c r="T23" s="262"/>
      <c r="U23" s="263"/>
      <c r="V23" s="261"/>
      <c r="W23" s="262"/>
      <c r="X23" s="262"/>
      <c r="Y23" s="262"/>
      <c r="Z23" s="262"/>
      <c r="AA23" s="263"/>
      <c r="AB23" s="279"/>
      <c r="AC23" s="280"/>
      <c r="AD23" s="280"/>
      <c r="AE23" s="280"/>
      <c r="AF23" s="280"/>
      <c r="AG23" s="281"/>
      <c r="AH23" s="270"/>
      <c r="AI23" s="271"/>
      <c r="AJ23" s="271"/>
      <c r="AK23" s="271"/>
      <c r="AL23" s="271"/>
      <c r="AM23" s="272"/>
      <c r="AN23" s="83"/>
      <c r="AO23" s="322"/>
      <c r="AP23" s="323"/>
      <c r="AQ23" s="323"/>
      <c r="AR23" s="323"/>
      <c r="AS23" s="323"/>
      <c r="AT23" s="32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35">
      <c r="A24" s="83"/>
      <c r="B24" s="299"/>
      <c r="C24" s="299"/>
      <c r="D24" s="300"/>
      <c r="E24" s="292"/>
      <c r="F24" s="293"/>
      <c r="G24" s="293"/>
      <c r="H24" s="293"/>
      <c r="I24" s="294"/>
      <c r="J24" s="261" t="str">
        <f>IF(AND('Mapa final'!$H$13="Media",'Mapa final'!$L$13="Leve"),CONCATENATE("R",'Mapa final'!$A$13),"")</f>
        <v/>
      </c>
      <c r="K24" s="262"/>
      <c r="L24" s="262" t="str">
        <f>IF(AND('Mapa final'!$H$14="Media",'Mapa final'!$L$14="Leve"),CONCATENATE("R",'Mapa final'!$A$14),"")</f>
        <v/>
      </c>
      <c r="M24" s="262"/>
      <c r="N24" s="262" t="str">
        <f>IF(AND('Mapa final'!$H$15="Media",'Mapa final'!$L$15="Leve"),CONCATENATE("R",'Mapa final'!$A$15),"")</f>
        <v/>
      </c>
      <c r="O24" s="263"/>
      <c r="P24" s="261" t="str">
        <f>IF(AND('Mapa final'!$H$13="Media",'Mapa final'!$L$13="Menor"),CONCATENATE("R",'Mapa final'!$A$13),"")</f>
        <v/>
      </c>
      <c r="Q24" s="262"/>
      <c r="R24" s="262" t="str">
        <f>IF(AND('Mapa final'!$H$14="Media",'Mapa final'!$L$14="Menor"),CONCATENATE("R",'Mapa final'!$A$14),"")</f>
        <v/>
      </c>
      <c r="S24" s="262"/>
      <c r="T24" s="262" t="str">
        <f>IF(AND('Mapa final'!$H$15="Media",'Mapa final'!$L$15="Menor"),CONCATENATE("R",'Mapa final'!$A$15),"")</f>
        <v/>
      </c>
      <c r="U24" s="263"/>
      <c r="V24" s="261" t="str">
        <f>IF(AND('Mapa final'!$H$13="Media",'Mapa final'!$L$13="Moderado"),CONCATENATE("R",'Mapa final'!$A$13),"")</f>
        <v/>
      </c>
      <c r="W24" s="262"/>
      <c r="X24" s="262" t="str">
        <f>IF(AND('Mapa final'!$H$14="Media",'Mapa final'!$L$14="Moderado"),CONCATENATE("R",'Mapa final'!$A$14),"")</f>
        <v/>
      </c>
      <c r="Y24" s="262"/>
      <c r="Z24" s="262" t="str">
        <f>IF(AND('Mapa final'!$H$15="Media",'Mapa final'!$L$15="Moderado"),CONCATENATE("R",'Mapa final'!$A$15),"")</f>
        <v/>
      </c>
      <c r="AA24" s="263"/>
      <c r="AB24" s="279" t="str">
        <f>IF(AND('Mapa final'!$H$13="Media",'Mapa final'!$L$13="Mayor"),CONCATENATE("R",'Mapa final'!$A$13),"")</f>
        <v/>
      </c>
      <c r="AC24" s="280"/>
      <c r="AD24" s="280" t="str">
        <f>IF(AND('Mapa final'!$H$14="Media",'Mapa final'!$L$14="Mayor"),CONCATENATE("R",'Mapa final'!$A$14),"")</f>
        <v/>
      </c>
      <c r="AE24" s="280"/>
      <c r="AF24" s="280" t="str">
        <f>IF(AND('Mapa final'!$H$15="Media",'Mapa final'!$L$15="Mayor"),CONCATENATE("R",'Mapa final'!$A$15),"")</f>
        <v/>
      </c>
      <c r="AG24" s="281"/>
      <c r="AH24" s="270" t="str">
        <f>IF(AND('Mapa final'!$H$13="Media",'Mapa final'!$L$13="Catastrófico"),CONCATENATE("R",'Mapa final'!$A$13),"")</f>
        <v/>
      </c>
      <c r="AI24" s="271"/>
      <c r="AJ24" s="271" t="str">
        <f>IF(AND('Mapa final'!$H$14="Media",'Mapa final'!$L$14="Catastrófico"),CONCATENATE("R",'Mapa final'!$A$14),"")</f>
        <v/>
      </c>
      <c r="AK24" s="271"/>
      <c r="AL24" s="271" t="str">
        <f>IF(AND('Mapa final'!$H$15="Media",'Mapa final'!$L$15="Catastrófico"),CONCATENATE("R",'Mapa final'!$A$15),"")</f>
        <v/>
      </c>
      <c r="AM24" s="272"/>
      <c r="AN24" s="83"/>
      <c r="AO24" s="322"/>
      <c r="AP24" s="323"/>
      <c r="AQ24" s="323"/>
      <c r="AR24" s="323"/>
      <c r="AS24" s="323"/>
      <c r="AT24" s="32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35">
      <c r="A25" s="83"/>
      <c r="B25" s="299"/>
      <c r="C25" s="299"/>
      <c r="D25" s="300"/>
      <c r="E25" s="292"/>
      <c r="F25" s="293"/>
      <c r="G25" s="293"/>
      <c r="H25" s="293"/>
      <c r="I25" s="294"/>
      <c r="J25" s="261"/>
      <c r="K25" s="262"/>
      <c r="L25" s="262"/>
      <c r="M25" s="262"/>
      <c r="N25" s="262"/>
      <c r="O25" s="263"/>
      <c r="P25" s="261"/>
      <c r="Q25" s="262"/>
      <c r="R25" s="262"/>
      <c r="S25" s="262"/>
      <c r="T25" s="262"/>
      <c r="U25" s="263"/>
      <c r="V25" s="261"/>
      <c r="W25" s="262"/>
      <c r="X25" s="262"/>
      <c r="Y25" s="262"/>
      <c r="Z25" s="262"/>
      <c r="AA25" s="263"/>
      <c r="AB25" s="279"/>
      <c r="AC25" s="280"/>
      <c r="AD25" s="280"/>
      <c r="AE25" s="280"/>
      <c r="AF25" s="280"/>
      <c r="AG25" s="281"/>
      <c r="AH25" s="270"/>
      <c r="AI25" s="271"/>
      <c r="AJ25" s="271"/>
      <c r="AK25" s="271"/>
      <c r="AL25" s="271"/>
      <c r="AM25" s="272"/>
      <c r="AN25" s="83"/>
      <c r="AO25" s="322"/>
      <c r="AP25" s="323"/>
      <c r="AQ25" s="323"/>
      <c r="AR25" s="323"/>
      <c r="AS25" s="323"/>
      <c r="AT25" s="32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35">
      <c r="A26" s="83"/>
      <c r="B26" s="299"/>
      <c r="C26" s="299"/>
      <c r="D26" s="300"/>
      <c r="E26" s="292"/>
      <c r="F26" s="293"/>
      <c r="G26" s="293"/>
      <c r="H26" s="293"/>
      <c r="I26" s="294"/>
      <c r="J26" s="261" t="str">
        <f>IF(AND('Mapa final'!$H$16="Media",'Mapa final'!$L$16="Leve"),CONCATENATE("R",'Mapa final'!$A$16),"")</f>
        <v/>
      </c>
      <c r="K26" s="262"/>
      <c r="L26" s="262" t="str">
        <f ca="1">IF(AND('Mapa final'!$H$17="Media",'Mapa final'!$L$17="Leve"),CONCATENATE("R",'Mapa final'!$A$17),"")</f>
        <v/>
      </c>
      <c r="M26" s="262"/>
      <c r="N26" s="262" t="str">
        <f ca="1">IF(AND('Mapa final'!$H$23="Media",'Mapa final'!$L$23="Leve"),CONCATENATE("R",'Mapa final'!$A$23),"")</f>
        <v/>
      </c>
      <c r="O26" s="263"/>
      <c r="P26" s="261" t="str">
        <f>IF(AND('Mapa final'!$H$16="Media",'Mapa final'!$L$16="Menor"),CONCATENATE("R",'Mapa final'!$A$16),"")</f>
        <v/>
      </c>
      <c r="Q26" s="262"/>
      <c r="R26" s="262" t="str">
        <f ca="1">IF(AND('Mapa final'!$H$17="Media",'Mapa final'!$L$17="Menor"),CONCATENATE("R",'Mapa final'!$A$17),"")</f>
        <v/>
      </c>
      <c r="S26" s="262"/>
      <c r="T26" s="262" t="str">
        <f ca="1">IF(AND('Mapa final'!$H$23="Media",'Mapa final'!$L$23="Menor"),CONCATENATE("R",'Mapa final'!$A$23),"")</f>
        <v/>
      </c>
      <c r="U26" s="263"/>
      <c r="V26" s="261" t="str">
        <f>IF(AND('Mapa final'!$H$16="Media",'Mapa final'!$L$16="Moderado"),CONCATENATE("R",'Mapa final'!$A$16),"")</f>
        <v>R7</v>
      </c>
      <c r="W26" s="262"/>
      <c r="X26" s="262" t="str">
        <f ca="1">IF(AND('Mapa final'!$H$17="Media",'Mapa final'!$L$17="Moderado"),CONCATENATE("R",'Mapa final'!$A$17),"")</f>
        <v/>
      </c>
      <c r="Y26" s="262"/>
      <c r="Z26" s="262" t="str">
        <f ca="1">IF(AND('Mapa final'!$H$23="Media",'Mapa final'!$L$23="Moderado"),CONCATENATE("R",'Mapa final'!$A$23),"")</f>
        <v/>
      </c>
      <c r="AA26" s="263"/>
      <c r="AB26" s="279" t="str">
        <f>IF(AND('Mapa final'!$H$16="Media",'Mapa final'!$L$16="Mayor"),CONCATENATE("R",'Mapa final'!$A$16),"")</f>
        <v/>
      </c>
      <c r="AC26" s="280"/>
      <c r="AD26" s="280" t="str">
        <f ca="1">IF(AND('Mapa final'!$H$17="Media",'Mapa final'!$L$17="Mayor"),CONCATENATE("R",'Mapa final'!$A$17),"")</f>
        <v/>
      </c>
      <c r="AE26" s="280"/>
      <c r="AF26" s="280" t="str">
        <f ca="1">IF(AND('Mapa final'!$H$23="Media",'Mapa final'!$L$23="Mayor"),CONCATENATE("R",'Mapa final'!$A$23),"")</f>
        <v/>
      </c>
      <c r="AG26" s="281"/>
      <c r="AH26" s="270" t="str">
        <f>IF(AND('Mapa final'!$H$16="Media",'Mapa final'!$L$16="Catastrófico"),CONCATENATE("R",'Mapa final'!$A$16),"")</f>
        <v/>
      </c>
      <c r="AI26" s="271"/>
      <c r="AJ26" s="271" t="str">
        <f ca="1">IF(AND('Mapa final'!$H$17="Media",'Mapa final'!$L$17="Catastrófico"),CONCATENATE("R",'Mapa final'!$A$17),"")</f>
        <v/>
      </c>
      <c r="AK26" s="271"/>
      <c r="AL26" s="271" t="str">
        <f ca="1">IF(AND('Mapa final'!$H$23="Media",'Mapa final'!$L$23="Catastrófico"),CONCATENATE("R",'Mapa final'!$A$23),"")</f>
        <v/>
      </c>
      <c r="AM26" s="272"/>
      <c r="AN26" s="83"/>
      <c r="AO26" s="322"/>
      <c r="AP26" s="323"/>
      <c r="AQ26" s="323"/>
      <c r="AR26" s="323"/>
      <c r="AS26" s="323"/>
      <c r="AT26" s="32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35">
      <c r="A27" s="83"/>
      <c r="B27" s="299"/>
      <c r="C27" s="299"/>
      <c r="D27" s="300"/>
      <c r="E27" s="292"/>
      <c r="F27" s="293"/>
      <c r="G27" s="293"/>
      <c r="H27" s="293"/>
      <c r="I27" s="294"/>
      <c r="J27" s="261"/>
      <c r="K27" s="262"/>
      <c r="L27" s="262"/>
      <c r="M27" s="262"/>
      <c r="N27" s="262"/>
      <c r="O27" s="263"/>
      <c r="P27" s="261"/>
      <c r="Q27" s="262"/>
      <c r="R27" s="262"/>
      <c r="S27" s="262"/>
      <c r="T27" s="262"/>
      <c r="U27" s="263"/>
      <c r="V27" s="261"/>
      <c r="W27" s="262"/>
      <c r="X27" s="262"/>
      <c r="Y27" s="262"/>
      <c r="Z27" s="262"/>
      <c r="AA27" s="263"/>
      <c r="AB27" s="279"/>
      <c r="AC27" s="280"/>
      <c r="AD27" s="280"/>
      <c r="AE27" s="280"/>
      <c r="AF27" s="280"/>
      <c r="AG27" s="281"/>
      <c r="AH27" s="270"/>
      <c r="AI27" s="271"/>
      <c r="AJ27" s="271"/>
      <c r="AK27" s="271"/>
      <c r="AL27" s="271"/>
      <c r="AM27" s="272"/>
      <c r="AN27" s="83"/>
      <c r="AO27" s="322"/>
      <c r="AP27" s="323"/>
      <c r="AQ27" s="323"/>
      <c r="AR27" s="323"/>
      <c r="AS27" s="323"/>
      <c r="AT27" s="32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35">
      <c r="A28" s="83"/>
      <c r="B28" s="299"/>
      <c r="C28" s="299"/>
      <c r="D28" s="300"/>
      <c r="E28" s="292"/>
      <c r="F28" s="293"/>
      <c r="G28" s="293"/>
      <c r="H28" s="293"/>
      <c r="I28" s="294"/>
      <c r="J28" s="261" t="str">
        <f ca="1">IF(AND('Mapa final'!$H$29="Media",'Mapa final'!$L$29="Leve"),CONCATENATE("R",'Mapa final'!$A$29),"")</f>
        <v/>
      </c>
      <c r="K28" s="262"/>
      <c r="L28" s="262" t="str">
        <f>IF(AND('Mapa final'!$H$35="Media",'Mapa final'!$L$35="Leve"),CONCATENATE("R",'Mapa final'!$A$35),"")</f>
        <v/>
      </c>
      <c r="M28" s="262"/>
      <c r="N28" s="262" t="str">
        <f>IF(AND('Mapa final'!$H$41="Media",'Mapa final'!$L$41="Leve"),CONCATENATE("R",'Mapa final'!$A$41),"")</f>
        <v/>
      </c>
      <c r="O28" s="263"/>
      <c r="P28" s="261" t="str">
        <f ca="1">IF(AND('Mapa final'!$H$29="Media",'Mapa final'!$L$29="Menor"),CONCATENATE("R",'Mapa final'!$A$29),"")</f>
        <v/>
      </c>
      <c r="Q28" s="262"/>
      <c r="R28" s="262" t="str">
        <f>IF(AND('Mapa final'!$H$35="Media",'Mapa final'!$L$35="Menor"),CONCATENATE("R",'Mapa final'!$A$35),"")</f>
        <v/>
      </c>
      <c r="S28" s="262"/>
      <c r="T28" s="262" t="str">
        <f>IF(AND('Mapa final'!$H$41="Media",'Mapa final'!$L$41="Menor"),CONCATENATE("R",'Mapa final'!$A$41),"")</f>
        <v/>
      </c>
      <c r="U28" s="263"/>
      <c r="V28" s="261" t="str">
        <f ca="1">IF(AND('Mapa final'!$H$29="Media",'Mapa final'!$L$29="Moderado"),CONCATENATE("R",'Mapa final'!$A$29),"")</f>
        <v/>
      </c>
      <c r="W28" s="262"/>
      <c r="X28" s="262" t="str">
        <f>IF(AND('Mapa final'!$H$35="Media",'Mapa final'!$L$35="Moderado"),CONCATENATE("R",'Mapa final'!$A$35),"")</f>
        <v/>
      </c>
      <c r="Y28" s="262"/>
      <c r="Z28" s="262" t="str">
        <f>IF(AND('Mapa final'!$H$41="Media",'Mapa final'!$L$41="Moderado"),CONCATENATE("R",'Mapa final'!$A$41),"")</f>
        <v/>
      </c>
      <c r="AA28" s="263"/>
      <c r="AB28" s="279" t="str">
        <f ca="1">IF(AND('Mapa final'!$H$29="Media",'Mapa final'!$L$29="Mayor"),CONCATENATE("R",'Mapa final'!$A$29),"")</f>
        <v/>
      </c>
      <c r="AC28" s="280"/>
      <c r="AD28" s="280" t="str">
        <f>IF(AND('Mapa final'!$H$35="Media",'Mapa final'!$L$35="Mayor"),CONCATENATE("R",'Mapa final'!$A$35),"")</f>
        <v/>
      </c>
      <c r="AE28" s="280"/>
      <c r="AF28" s="280" t="str">
        <f>IF(AND('Mapa final'!$H$41="Media",'Mapa final'!$L$41="Mayor"),CONCATENATE("R",'Mapa final'!$A$41),"")</f>
        <v/>
      </c>
      <c r="AG28" s="281"/>
      <c r="AH28" s="270" t="str">
        <f ca="1">IF(AND('Mapa final'!$H$29="Media",'Mapa final'!$L$29="Catastrófico"),CONCATENATE("R",'Mapa final'!$A$29),"")</f>
        <v/>
      </c>
      <c r="AI28" s="271"/>
      <c r="AJ28" s="271" t="str">
        <f>IF(AND('Mapa final'!$H$35="Media",'Mapa final'!$L$35="Catastrófico"),CONCATENATE("R",'Mapa final'!$A$35),"")</f>
        <v/>
      </c>
      <c r="AK28" s="271"/>
      <c r="AL28" s="271" t="str">
        <f>IF(AND('Mapa final'!$H$41="Media",'Mapa final'!$L$41="Catastrófico"),CONCATENATE("R",'Mapa final'!$A$41),"")</f>
        <v/>
      </c>
      <c r="AM28" s="272"/>
      <c r="AN28" s="83"/>
      <c r="AO28" s="322"/>
      <c r="AP28" s="323"/>
      <c r="AQ28" s="323"/>
      <c r="AR28" s="323"/>
      <c r="AS28" s="323"/>
      <c r="AT28" s="32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 thickBot="1" x14ac:dyDescent="0.4">
      <c r="A29" s="83"/>
      <c r="B29" s="299"/>
      <c r="C29" s="299"/>
      <c r="D29" s="300"/>
      <c r="E29" s="295"/>
      <c r="F29" s="296"/>
      <c r="G29" s="296"/>
      <c r="H29" s="296"/>
      <c r="I29" s="297"/>
      <c r="J29" s="261"/>
      <c r="K29" s="262"/>
      <c r="L29" s="262"/>
      <c r="M29" s="262"/>
      <c r="N29" s="262"/>
      <c r="O29" s="263"/>
      <c r="P29" s="264"/>
      <c r="Q29" s="265"/>
      <c r="R29" s="265"/>
      <c r="S29" s="265"/>
      <c r="T29" s="265"/>
      <c r="U29" s="266"/>
      <c r="V29" s="264"/>
      <c r="W29" s="265"/>
      <c r="X29" s="265"/>
      <c r="Y29" s="265"/>
      <c r="Z29" s="265"/>
      <c r="AA29" s="266"/>
      <c r="AB29" s="282"/>
      <c r="AC29" s="283"/>
      <c r="AD29" s="283"/>
      <c r="AE29" s="283"/>
      <c r="AF29" s="283"/>
      <c r="AG29" s="284"/>
      <c r="AH29" s="273"/>
      <c r="AI29" s="274"/>
      <c r="AJ29" s="274"/>
      <c r="AK29" s="274"/>
      <c r="AL29" s="274"/>
      <c r="AM29" s="275"/>
      <c r="AN29" s="83"/>
      <c r="AO29" s="325"/>
      <c r="AP29" s="326"/>
      <c r="AQ29" s="326"/>
      <c r="AR29" s="326"/>
      <c r="AS29" s="326"/>
      <c r="AT29" s="32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35">
      <c r="A30" s="83"/>
      <c r="B30" s="299"/>
      <c r="C30" s="299"/>
      <c r="D30" s="300"/>
      <c r="E30" s="289" t="s">
        <v>114</v>
      </c>
      <c r="F30" s="290"/>
      <c r="G30" s="290"/>
      <c r="H30" s="290"/>
      <c r="I30" s="290"/>
      <c r="J30" s="258" t="str">
        <f>IF(AND('Mapa final'!$H$10="Baja",'Mapa final'!$L$10="Leve"),CONCATENATE("R",'Mapa final'!$A$10),"")</f>
        <v/>
      </c>
      <c r="K30" s="259"/>
      <c r="L30" s="259" t="str">
        <f>IF(AND('Mapa final'!$H$11="Baja",'Mapa final'!$L$11="Leve"),CONCATENATE("R",'Mapa final'!$A$11),"")</f>
        <v/>
      </c>
      <c r="M30" s="259"/>
      <c r="N30" s="259" t="str">
        <f>IF(AND('Mapa final'!$H$12="Baja",'Mapa final'!$L$12="Leve"),CONCATENATE("R",'Mapa final'!$A$12),"")</f>
        <v/>
      </c>
      <c r="O30" s="260"/>
      <c r="P30" s="268" t="str">
        <f>IF(AND('Mapa final'!$H$10="Baja",'Mapa final'!$L$10="Menor"),CONCATENATE("R",'Mapa final'!$A$10),"")</f>
        <v/>
      </c>
      <c r="Q30" s="268"/>
      <c r="R30" s="268" t="str">
        <f>IF(AND('Mapa final'!$H$11="Baja",'Mapa final'!$L$11="Menor"),CONCATENATE("R",'Mapa final'!$A$11),"")</f>
        <v/>
      </c>
      <c r="S30" s="268"/>
      <c r="T30" s="268" t="str">
        <f>IF(AND('Mapa final'!$H$12="Baja",'Mapa final'!$L$12="Menor"),CONCATENATE("R",'Mapa final'!$A$12),"")</f>
        <v/>
      </c>
      <c r="U30" s="269"/>
      <c r="V30" s="267" t="str">
        <f>IF(AND('Mapa final'!$H$10="Baja",'Mapa final'!$L$10="Moderado"),CONCATENATE("R",'Mapa final'!$A$10),"")</f>
        <v/>
      </c>
      <c r="W30" s="268"/>
      <c r="X30" s="268" t="str">
        <f>IF(AND('Mapa final'!$H$11="Baja",'Mapa final'!$L$11="Moderado"),CONCATENATE("R",'Mapa final'!$A$11),"")</f>
        <v/>
      </c>
      <c r="Y30" s="268"/>
      <c r="Z30" s="268" t="str">
        <f>IF(AND('Mapa final'!$H$12="Baja",'Mapa final'!$L$12="Moderado"),CONCATENATE("R",'Mapa final'!$A$12),"")</f>
        <v/>
      </c>
      <c r="AA30" s="269"/>
      <c r="AB30" s="285" t="str">
        <f>IF(AND('Mapa final'!$H$10="Baja",'Mapa final'!$L$10="Mayor"),CONCATENATE("R",'Mapa final'!$A$10),"")</f>
        <v/>
      </c>
      <c r="AC30" s="286"/>
      <c r="AD30" s="286" t="str">
        <f>IF(AND('Mapa final'!$H$11="Baja",'Mapa final'!$L$11="Mayor"),CONCATENATE("R",'Mapa final'!$A$11),"")</f>
        <v/>
      </c>
      <c r="AE30" s="286"/>
      <c r="AF30" s="286" t="str">
        <f>IF(AND('Mapa final'!$H$12="Baja",'Mapa final'!$L$12="Mayor"),CONCATENATE("R",'Mapa final'!$A$12),"")</f>
        <v/>
      </c>
      <c r="AG30" s="287"/>
      <c r="AH30" s="276" t="str">
        <f>IF(AND('Mapa final'!$H$10="Baja",'Mapa final'!$L$10="Catastrófico"),CONCATENATE("R",'Mapa final'!$A$10),"")</f>
        <v/>
      </c>
      <c r="AI30" s="277"/>
      <c r="AJ30" s="277" t="str">
        <f>IF(AND('Mapa final'!$H$11="Baja",'Mapa final'!$L$11="Catastrófico"),CONCATENATE("R",'Mapa final'!$A$11),"")</f>
        <v/>
      </c>
      <c r="AK30" s="277"/>
      <c r="AL30" s="277" t="str">
        <f>IF(AND('Mapa final'!$H$12="Baja",'Mapa final'!$L$12="Catastrófico"),CONCATENATE("R",'Mapa final'!$A$12),"")</f>
        <v/>
      </c>
      <c r="AM30" s="278"/>
      <c r="AN30" s="83"/>
      <c r="AO30" s="328" t="s">
        <v>82</v>
      </c>
      <c r="AP30" s="329"/>
      <c r="AQ30" s="329"/>
      <c r="AR30" s="329"/>
      <c r="AS30" s="329"/>
      <c r="AT30" s="33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35">
      <c r="A31" s="83"/>
      <c r="B31" s="299"/>
      <c r="C31" s="299"/>
      <c r="D31" s="300"/>
      <c r="E31" s="292"/>
      <c r="F31" s="293"/>
      <c r="G31" s="293"/>
      <c r="H31" s="293"/>
      <c r="I31" s="293"/>
      <c r="J31" s="252"/>
      <c r="K31" s="253"/>
      <c r="L31" s="253"/>
      <c r="M31" s="253"/>
      <c r="N31" s="253"/>
      <c r="O31" s="254"/>
      <c r="P31" s="262"/>
      <c r="Q31" s="262"/>
      <c r="R31" s="262"/>
      <c r="S31" s="262"/>
      <c r="T31" s="262"/>
      <c r="U31" s="263"/>
      <c r="V31" s="261"/>
      <c r="W31" s="262"/>
      <c r="X31" s="262"/>
      <c r="Y31" s="262"/>
      <c r="Z31" s="262"/>
      <c r="AA31" s="263"/>
      <c r="AB31" s="279"/>
      <c r="AC31" s="280"/>
      <c r="AD31" s="280"/>
      <c r="AE31" s="280"/>
      <c r="AF31" s="280"/>
      <c r="AG31" s="281"/>
      <c r="AH31" s="270"/>
      <c r="AI31" s="271"/>
      <c r="AJ31" s="271"/>
      <c r="AK31" s="271"/>
      <c r="AL31" s="271"/>
      <c r="AM31" s="272"/>
      <c r="AN31" s="83"/>
      <c r="AO31" s="331"/>
      <c r="AP31" s="332"/>
      <c r="AQ31" s="332"/>
      <c r="AR31" s="332"/>
      <c r="AS31" s="332"/>
      <c r="AT31" s="33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35">
      <c r="A32" s="83"/>
      <c r="B32" s="299"/>
      <c r="C32" s="299"/>
      <c r="D32" s="300"/>
      <c r="E32" s="292"/>
      <c r="F32" s="293"/>
      <c r="G32" s="293"/>
      <c r="H32" s="293"/>
      <c r="I32" s="293"/>
      <c r="J32" s="252" t="str">
        <f>IF(AND('Mapa final'!$H$13="Baja",'Mapa final'!$L$13="Leve"),CONCATENATE("R",'Mapa final'!$A$13),"")</f>
        <v/>
      </c>
      <c r="K32" s="253"/>
      <c r="L32" s="253" t="str">
        <f>IF(AND('Mapa final'!$H$14="Baja",'Mapa final'!$L$14="Leve"),CONCATENATE("R",'Mapa final'!$A$14),"")</f>
        <v/>
      </c>
      <c r="M32" s="253"/>
      <c r="N32" s="253" t="str">
        <f>IF(AND('Mapa final'!$H$15="Baja",'Mapa final'!$L$15="Leve"),CONCATENATE("R",'Mapa final'!$A$15),"")</f>
        <v/>
      </c>
      <c r="O32" s="254"/>
      <c r="P32" s="262" t="str">
        <f>IF(AND('Mapa final'!$H$13="Baja",'Mapa final'!$L$13="Menor"),CONCATENATE("R",'Mapa final'!$A$13),"")</f>
        <v>R4</v>
      </c>
      <c r="Q32" s="262"/>
      <c r="R32" s="262" t="str">
        <f>IF(AND('Mapa final'!$H$14="Baja",'Mapa final'!$L$14="Menor"),CONCATENATE("R",'Mapa final'!$A$14),"")</f>
        <v/>
      </c>
      <c r="S32" s="262"/>
      <c r="T32" s="262" t="str">
        <f>IF(AND('Mapa final'!$H$15="Baja",'Mapa final'!$L$15="Menor"),CONCATENATE("R",'Mapa final'!$A$15),"")</f>
        <v>R6</v>
      </c>
      <c r="U32" s="263"/>
      <c r="V32" s="261" t="str">
        <f>IF(AND('Mapa final'!$H$13="Baja",'Mapa final'!$L$13="Moderado"),CONCATENATE("R",'Mapa final'!$A$13),"")</f>
        <v/>
      </c>
      <c r="W32" s="262"/>
      <c r="X32" s="262" t="str">
        <f>IF(AND('Mapa final'!$H$14="Baja",'Mapa final'!$L$14="Moderado"),CONCATENATE("R",'Mapa final'!$A$14),"")</f>
        <v/>
      </c>
      <c r="Y32" s="262"/>
      <c r="Z32" s="262" t="str">
        <f>IF(AND('Mapa final'!$H$15="Baja",'Mapa final'!$L$15="Moderado"),CONCATENATE("R",'Mapa final'!$A$15),"")</f>
        <v/>
      </c>
      <c r="AA32" s="263"/>
      <c r="AB32" s="279" t="str">
        <f>IF(AND('Mapa final'!$H$13="Baja",'Mapa final'!$L$13="Mayor"),CONCATENATE("R",'Mapa final'!$A$13),"")</f>
        <v/>
      </c>
      <c r="AC32" s="280"/>
      <c r="AD32" s="280" t="str">
        <f>IF(AND('Mapa final'!$H$14="Baja",'Mapa final'!$L$14="Mayor"),CONCATENATE("R",'Mapa final'!$A$14),"")</f>
        <v/>
      </c>
      <c r="AE32" s="280"/>
      <c r="AF32" s="280" t="str">
        <f>IF(AND('Mapa final'!$H$15="Baja",'Mapa final'!$L$15="Mayor"),CONCATENATE("R",'Mapa final'!$A$15),"")</f>
        <v/>
      </c>
      <c r="AG32" s="281"/>
      <c r="AH32" s="270" t="str">
        <f>IF(AND('Mapa final'!$H$13="Baja",'Mapa final'!$L$13="Catastrófico"),CONCATENATE("R",'Mapa final'!$A$13),"")</f>
        <v/>
      </c>
      <c r="AI32" s="271"/>
      <c r="AJ32" s="271" t="str">
        <f>IF(AND('Mapa final'!$H$14="Baja",'Mapa final'!$L$14="Catastrófico"),CONCATENATE("R",'Mapa final'!$A$14),"")</f>
        <v/>
      </c>
      <c r="AK32" s="271"/>
      <c r="AL32" s="271" t="str">
        <f>IF(AND('Mapa final'!$H$15="Baja",'Mapa final'!$L$15="Catastrófico"),CONCATENATE("R",'Mapa final'!$A$15),"")</f>
        <v/>
      </c>
      <c r="AM32" s="272"/>
      <c r="AN32" s="83"/>
      <c r="AO32" s="331"/>
      <c r="AP32" s="332"/>
      <c r="AQ32" s="332"/>
      <c r="AR32" s="332"/>
      <c r="AS32" s="332"/>
      <c r="AT32" s="33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35">
      <c r="A33" s="83"/>
      <c r="B33" s="299"/>
      <c r="C33" s="299"/>
      <c r="D33" s="300"/>
      <c r="E33" s="292"/>
      <c r="F33" s="293"/>
      <c r="G33" s="293"/>
      <c r="H33" s="293"/>
      <c r="I33" s="293"/>
      <c r="J33" s="252"/>
      <c r="K33" s="253"/>
      <c r="L33" s="253"/>
      <c r="M33" s="253"/>
      <c r="N33" s="253"/>
      <c r="O33" s="254"/>
      <c r="P33" s="262"/>
      <c r="Q33" s="262"/>
      <c r="R33" s="262"/>
      <c r="S33" s="262"/>
      <c r="T33" s="262"/>
      <c r="U33" s="263"/>
      <c r="V33" s="261"/>
      <c r="W33" s="262"/>
      <c r="X33" s="262"/>
      <c r="Y33" s="262"/>
      <c r="Z33" s="262"/>
      <c r="AA33" s="263"/>
      <c r="AB33" s="279"/>
      <c r="AC33" s="280"/>
      <c r="AD33" s="280"/>
      <c r="AE33" s="280"/>
      <c r="AF33" s="280"/>
      <c r="AG33" s="281"/>
      <c r="AH33" s="270"/>
      <c r="AI33" s="271"/>
      <c r="AJ33" s="271"/>
      <c r="AK33" s="271"/>
      <c r="AL33" s="271"/>
      <c r="AM33" s="272"/>
      <c r="AN33" s="83"/>
      <c r="AO33" s="331"/>
      <c r="AP33" s="332"/>
      <c r="AQ33" s="332"/>
      <c r="AR33" s="332"/>
      <c r="AS33" s="332"/>
      <c r="AT33" s="33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35">
      <c r="A34" s="83"/>
      <c r="B34" s="299"/>
      <c r="C34" s="299"/>
      <c r="D34" s="300"/>
      <c r="E34" s="292"/>
      <c r="F34" s="293"/>
      <c r="G34" s="293"/>
      <c r="H34" s="293"/>
      <c r="I34" s="293"/>
      <c r="J34" s="252" t="str">
        <f>IF(AND('Mapa final'!$H$16="Baja",'Mapa final'!$L$16="Leve"),CONCATENATE("R",'Mapa final'!$A$16),"")</f>
        <v/>
      </c>
      <c r="K34" s="253"/>
      <c r="L34" s="253" t="str">
        <f ca="1">IF(AND('Mapa final'!$H$17="Baja",'Mapa final'!$L$17="Leve"),CONCATENATE("R",'Mapa final'!$A$17),"")</f>
        <v/>
      </c>
      <c r="M34" s="253"/>
      <c r="N34" s="253" t="str">
        <f ca="1">IF(AND('Mapa final'!$H$23="Baja",'Mapa final'!$L$23="Leve"),CONCATENATE("R",'Mapa final'!$A$23),"")</f>
        <v/>
      </c>
      <c r="O34" s="254"/>
      <c r="P34" s="262" t="str">
        <f>IF(AND('Mapa final'!$H$16="Baja",'Mapa final'!$L$16="Menor"),CONCATENATE("R",'Mapa final'!$A$16),"")</f>
        <v/>
      </c>
      <c r="Q34" s="262"/>
      <c r="R34" s="262" t="str">
        <f ca="1">IF(AND('Mapa final'!$H$17="Baja",'Mapa final'!$L$17="Menor"),CONCATENATE("R",'Mapa final'!$A$17),"")</f>
        <v/>
      </c>
      <c r="S34" s="262"/>
      <c r="T34" s="262" t="str">
        <f ca="1">IF(AND('Mapa final'!$H$23="Baja",'Mapa final'!$L$23="Menor"),CONCATENATE("R",'Mapa final'!$A$23),"")</f>
        <v/>
      </c>
      <c r="U34" s="263"/>
      <c r="V34" s="261" t="str">
        <f>IF(AND('Mapa final'!$H$16="Baja",'Mapa final'!$L$16="Moderado"),CONCATENATE("R",'Mapa final'!$A$16),"")</f>
        <v/>
      </c>
      <c r="W34" s="262"/>
      <c r="X34" s="262" t="str">
        <f ca="1">IF(AND('Mapa final'!$H$17="Baja",'Mapa final'!$L$17="Moderado"),CONCATENATE("R",'Mapa final'!$A$17),"")</f>
        <v/>
      </c>
      <c r="Y34" s="262"/>
      <c r="Z34" s="262" t="str">
        <f ca="1">IF(AND('Mapa final'!$H$23="Baja",'Mapa final'!$L$23="Moderado"),CONCATENATE("R",'Mapa final'!$A$23),"")</f>
        <v/>
      </c>
      <c r="AA34" s="263"/>
      <c r="AB34" s="279" t="str">
        <f>IF(AND('Mapa final'!$H$16="Baja",'Mapa final'!$L$16="Mayor"),CONCATENATE("R",'Mapa final'!$A$16),"")</f>
        <v/>
      </c>
      <c r="AC34" s="280"/>
      <c r="AD34" s="280" t="str">
        <f ca="1">IF(AND('Mapa final'!$H$17="Baja",'Mapa final'!$L$17="Mayor"),CONCATENATE("R",'Mapa final'!$A$17),"")</f>
        <v/>
      </c>
      <c r="AE34" s="280"/>
      <c r="AF34" s="280" t="str">
        <f ca="1">IF(AND('Mapa final'!$H$23="Baja",'Mapa final'!$L$23="Mayor"),CONCATENATE("R",'Mapa final'!$A$23),"")</f>
        <v/>
      </c>
      <c r="AG34" s="281"/>
      <c r="AH34" s="270" t="str">
        <f>IF(AND('Mapa final'!$H$16="Baja",'Mapa final'!$L$16="Catastrófico"),CONCATENATE("R",'Mapa final'!$A$16),"")</f>
        <v/>
      </c>
      <c r="AI34" s="271"/>
      <c r="AJ34" s="271" t="str">
        <f ca="1">IF(AND('Mapa final'!$H$17="Baja",'Mapa final'!$L$17="Catastrófico"),CONCATENATE("R",'Mapa final'!$A$17),"")</f>
        <v/>
      </c>
      <c r="AK34" s="271"/>
      <c r="AL34" s="271" t="str">
        <f ca="1">IF(AND('Mapa final'!$H$23="Baja",'Mapa final'!$L$23="Catastrófico"),CONCATENATE("R",'Mapa final'!$A$23),"")</f>
        <v/>
      </c>
      <c r="AM34" s="272"/>
      <c r="AN34" s="83"/>
      <c r="AO34" s="331"/>
      <c r="AP34" s="332"/>
      <c r="AQ34" s="332"/>
      <c r="AR34" s="332"/>
      <c r="AS34" s="332"/>
      <c r="AT34" s="33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35">
      <c r="A35" s="83"/>
      <c r="B35" s="299"/>
      <c r="C35" s="299"/>
      <c r="D35" s="300"/>
      <c r="E35" s="292"/>
      <c r="F35" s="293"/>
      <c r="G35" s="293"/>
      <c r="H35" s="293"/>
      <c r="I35" s="293"/>
      <c r="J35" s="252"/>
      <c r="K35" s="253"/>
      <c r="L35" s="253"/>
      <c r="M35" s="253"/>
      <c r="N35" s="253"/>
      <c r="O35" s="254"/>
      <c r="P35" s="262"/>
      <c r="Q35" s="262"/>
      <c r="R35" s="262"/>
      <c r="S35" s="262"/>
      <c r="T35" s="262"/>
      <c r="U35" s="263"/>
      <c r="V35" s="261"/>
      <c r="W35" s="262"/>
      <c r="X35" s="262"/>
      <c r="Y35" s="262"/>
      <c r="Z35" s="262"/>
      <c r="AA35" s="263"/>
      <c r="AB35" s="279"/>
      <c r="AC35" s="280"/>
      <c r="AD35" s="280"/>
      <c r="AE35" s="280"/>
      <c r="AF35" s="280"/>
      <c r="AG35" s="281"/>
      <c r="AH35" s="270"/>
      <c r="AI35" s="271"/>
      <c r="AJ35" s="271"/>
      <c r="AK35" s="271"/>
      <c r="AL35" s="271"/>
      <c r="AM35" s="272"/>
      <c r="AN35" s="83"/>
      <c r="AO35" s="331"/>
      <c r="AP35" s="332"/>
      <c r="AQ35" s="332"/>
      <c r="AR35" s="332"/>
      <c r="AS35" s="332"/>
      <c r="AT35" s="33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35">
      <c r="A36" s="83"/>
      <c r="B36" s="299"/>
      <c r="C36" s="299"/>
      <c r="D36" s="300"/>
      <c r="E36" s="292"/>
      <c r="F36" s="293"/>
      <c r="G36" s="293"/>
      <c r="H36" s="293"/>
      <c r="I36" s="293"/>
      <c r="J36" s="252" t="str">
        <f ca="1">IF(AND('Mapa final'!$H$29="Baja",'Mapa final'!$L$29="Leve"),CONCATENATE("R",'Mapa final'!$A$29),"")</f>
        <v/>
      </c>
      <c r="K36" s="253"/>
      <c r="L36" s="253" t="str">
        <f>IF(AND('Mapa final'!$H$35="Baja",'Mapa final'!$L$35="Leve"),CONCATENATE("R",'Mapa final'!$A$35),"")</f>
        <v/>
      </c>
      <c r="M36" s="253"/>
      <c r="N36" s="253" t="str">
        <f>IF(AND('Mapa final'!$H$41="Baja",'Mapa final'!$L$41="Leve"),CONCATENATE("R",'Mapa final'!$A$41),"")</f>
        <v/>
      </c>
      <c r="O36" s="254"/>
      <c r="P36" s="262" t="str">
        <f ca="1">IF(AND('Mapa final'!$H$29="Baja",'Mapa final'!$L$29="Menor"),CONCATENATE("R",'Mapa final'!$A$29),"")</f>
        <v/>
      </c>
      <c r="Q36" s="262"/>
      <c r="R36" s="262" t="str">
        <f>IF(AND('Mapa final'!$H$35="Baja",'Mapa final'!$L$35="Menor"),CONCATENATE("R",'Mapa final'!$A$35),"")</f>
        <v/>
      </c>
      <c r="S36" s="262"/>
      <c r="T36" s="262" t="str">
        <f>IF(AND('Mapa final'!$H$41="Baja",'Mapa final'!$L$41="Menor"),CONCATENATE("R",'Mapa final'!$A$41),"")</f>
        <v/>
      </c>
      <c r="U36" s="263"/>
      <c r="V36" s="261" t="str">
        <f ca="1">IF(AND('Mapa final'!$H$29="Baja",'Mapa final'!$L$29="Moderado"),CONCATENATE("R",'Mapa final'!$A$29),"")</f>
        <v/>
      </c>
      <c r="W36" s="262"/>
      <c r="X36" s="262" t="str">
        <f>IF(AND('Mapa final'!$H$35="Baja",'Mapa final'!$L$35="Moderado"),CONCATENATE("R",'Mapa final'!$A$35),"")</f>
        <v/>
      </c>
      <c r="Y36" s="262"/>
      <c r="Z36" s="262" t="str">
        <f>IF(AND('Mapa final'!$H$41="Baja",'Mapa final'!$L$41="Moderado"),CONCATENATE("R",'Mapa final'!$A$41),"")</f>
        <v/>
      </c>
      <c r="AA36" s="263"/>
      <c r="AB36" s="279" t="str">
        <f ca="1">IF(AND('Mapa final'!$H$29="Baja",'Mapa final'!$L$29="Mayor"),CONCATENATE("R",'Mapa final'!$A$29),"")</f>
        <v/>
      </c>
      <c r="AC36" s="280"/>
      <c r="AD36" s="280" t="str">
        <f>IF(AND('Mapa final'!$H$35="Baja",'Mapa final'!$L$35="Mayor"),CONCATENATE("R",'Mapa final'!$A$35),"")</f>
        <v/>
      </c>
      <c r="AE36" s="280"/>
      <c r="AF36" s="280" t="str">
        <f>IF(AND('Mapa final'!$H$41="Baja",'Mapa final'!$L$41="Mayor"),CONCATENATE("R",'Mapa final'!$A$41),"")</f>
        <v/>
      </c>
      <c r="AG36" s="281"/>
      <c r="AH36" s="270" t="str">
        <f ca="1">IF(AND('Mapa final'!$H$29="Baja",'Mapa final'!$L$29="Catastrófico"),CONCATENATE("R",'Mapa final'!$A$29),"")</f>
        <v/>
      </c>
      <c r="AI36" s="271"/>
      <c r="AJ36" s="271" t="str">
        <f>IF(AND('Mapa final'!$H$35="Baja",'Mapa final'!$L$35="Catastrófico"),CONCATENATE("R",'Mapa final'!$A$35),"")</f>
        <v/>
      </c>
      <c r="AK36" s="271"/>
      <c r="AL36" s="271" t="str">
        <f>IF(AND('Mapa final'!$H$41="Baja",'Mapa final'!$L$41="Catastrófico"),CONCATENATE("R",'Mapa final'!$A$41),"")</f>
        <v/>
      </c>
      <c r="AM36" s="272"/>
      <c r="AN36" s="83"/>
      <c r="AO36" s="331"/>
      <c r="AP36" s="332"/>
      <c r="AQ36" s="332"/>
      <c r="AR36" s="332"/>
      <c r="AS36" s="332"/>
      <c r="AT36" s="33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 thickBot="1" x14ac:dyDescent="0.4">
      <c r="A37" s="83"/>
      <c r="B37" s="299"/>
      <c r="C37" s="299"/>
      <c r="D37" s="300"/>
      <c r="E37" s="295"/>
      <c r="F37" s="296"/>
      <c r="G37" s="296"/>
      <c r="H37" s="296"/>
      <c r="I37" s="296"/>
      <c r="J37" s="255"/>
      <c r="K37" s="256"/>
      <c r="L37" s="256"/>
      <c r="M37" s="256"/>
      <c r="N37" s="256"/>
      <c r="O37" s="257"/>
      <c r="P37" s="265"/>
      <c r="Q37" s="265"/>
      <c r="R37" s="265"/>
      <c r="S37" s="265"/>
      <c r="T37" s="265"/>
      <c r="U37" s="266"/>
      <c r="V37" s="264"/>
      <c r="W37" s="265"/>
      <c r="X37" s="265"/>
      <c r="Y37" s="265"/>
      <c r="Z37" s="265"/>
      <c r="AA37" s="266"/>
      <c r="AB37" s="282"/>
      <c r="AC37" s="283"/>
      <c r="AD37" s="283"/>
      <c r="AE37" s="283"/>
      <c r="AF37" s="283"/>
      <c r="AG37" s="284"/>
      <c r="AH37" s="273"/>
      <c r="AI37" s="274"/>
      <c r="AJ37" s="274"/>
      <c r="AK37" s="274"/>
      <c r="AL37" s="274"/>
      <c r="AM37" s="275"/>
      <c r="AN37" s="83"/>
      <c r="AO37" s="334"/>
      <c r="AP37" s="335"/>
      <c r="AQ37" s="335"/>
      <c r="AR37" s="335"/>
      <c r="AS37" s="335"/>
      <c r="AT37" s="33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35">
      <c r="A38" s="83"/>
      <c r="B38" s="299"/>
      <c r="C38" s="299"/>
      <c r="D38" s="300"/>
      <c r="E38" s="289" t="s">
        <v>113</v>
      </c>
      <c r="F38" s="290"/>
      <c r="G38" s="290"/>
      <c r="H38" s="290"/>
      <c r="I38" s="291"/>
      <c r="J38" s="258" t="str">
        <f>IF(AND('Mapa final'!$H$10="Muy Baja",'Mapa final'!$L$10="Leve"),CONCATENATE("R",'Mapa final'!$A$10),"")</f>
        <v/>
      </c>
      <c r="K38" s="259"/>
      <c r="L38" s="259" t="str">
        <f>IF(AND('Mapa final'!$H$11="Muy Baja",'Mapa final'!$L$11="Leve"),CONCATENATE("R",'Mapa final'!$A$11),"")</f>
        <v/>
      </c>
      <c r="M38" s="259"/>
      <c r="N38" s="259" t="str">
        <f>IF(AND('Mapa final'!$H$12="Muy Baja",'Mapa final'!$L$12="Leve"),CONCATENATE("R",'Mapa final'!$A$12),"")</f>
        <v/>
      </c>
      <c r="O38" s="260"/>
      <c r="P38" s="258" t="str">
        <f>IF(AND('Mapa final'!$H$10="Muy Baja",'Mapa final'!$L$10="Menor"),CONCATENATE("R",'Mapa final'!$A$10),"")</f>
        <v/>
      </c>
      <c r="Q38" s="259"/>
      <c r="R38" s="259" t="str">
        <f>IF(AND('Mapa final'!$H$11="Muy Baja",'Mapa final'!$L$11="Menor"),CONCATENATE("R",'Mapa final'!$A$11),"")</f>
        <v/>
      </c>
      <c r="S38" s="259"/>
      <c r="T38" s="259" t="str">
        <f>IF(AND('Mapa final'!$H$12="Muy Baja",'Mapa final'!$L$12="Menor"),CONCATENATE("R",'Mapa final'!$A$12),"")</f>
        <v/>
      </c>
      <c r="U38" s="260"/>
      <c r="V38" s="267" t="str">
        <f>IF(AND('Mapa final'!$H$10="Muy Baja",'Mapa final'!$L$10="Moderado"),CONCATENATE("R",'Mapa final'!$A$10),"")</f>
        <v/>
      </c>
      <c r="W38" s="268"/>
      <c r="X38" s="268" t="str">
        <f>IF(AND('Mapa final'!$H$11="Muy Baja",'Mapa final'!$L$11="Moderado"),CONCATENATE("R",'Mapa final'!$A$11),"")</f>
        <v/>
      </c>
      <c r="Y38" s="268"/>
      <c r="Z38" s="268" t="str">
        <f>IF(AND('Mapa final'!$H$12="Muy Baja",'Mapa final'!$L$12="Moderado"),CONCATENATE("R",'Mapa final'!$A$12),"")</f>
        <v/>
      </c>
      <c r="AA38" s="269"/>
      <c r="AB38" s="285" t="str">
        <f>IF(AND('Mapa final'!$H$10="Muy Baja",'Mapa final'!$L$10="Mayor"),CONCATENATE("R",'Mapa final'!$A$10),"")</f>
        <v/>
      </c>
      <c r="AC38" s="286"/>
      <c r="AD38" s="286" t="str">
        <f>IF(AND('Mapa final'!$H$11="Muy Baja",'Mapa final'!$L$11="Mayor"),CONCATENATE("R",'Mapa final'!$A$11),"")</f>
        <v/>
      </c>
      <c r="AE38" s="286"/>
      <c r="AF38" s="286" t="str">
        <f>IF(AND('Mapa final'!$H$12="Muy Baja",'Mapa final'!$L$12="Mayor"),CONCATENATE("R",'Mapa final'!$A$12),"")</f>
        <v/>
      </c>
      <c r="AG38" s="287"/>
      <c r="AH38" s="276" t="str">
        <f>IF(AND('Mapa final'!$H$10="Muy Baja",'Mapa final'!$L$10="Catastrófico"),CONCATENATE("R",'Mapa final'!$A$10),"")</f>
        <v/>
      </c>
      <c r="AI38" s="277"/>
      <c r="AJ38" s="277" t="str">
        <f>IF(AND('Mapa final'!$H$11="Muy Baja",'Mapa final'!$L$11="Catastrófico"),CONCATENATE("R",'Mapa final'!$A$11),"")</f>
        <v/>
      </c>
      <c r="AK38" s="277"/>
      <c r="AL38" s="277" t="str">
        <f>IF(AND('Mapa final'!$H$12="Muy Baja",'Mapa final'!$L$12="Catastrófico"),CONCATENATE("R",'Mapa final'!$A$12),"")</f>
        <v/>
      </c>
      <c r="AM38" s="278"/>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35">
      <c r="A39" s="83"/>
      <c r="B39" s="299"/>
      <c r="C39" s="299"/>
      <c r="D39" s="300"/>
      <c r="E39" s="292"/>
      <c r="F39" s="293"/>
      <c r="G39" s="293"/>
      <c r="H39" s="293"/>
      <c r="I39" s="294"/>
      <c r="J39" s="252"/>
      <c r="K39" s="253"/>
      <c r="L39" s="253"/>
      <c r="M39" s="253"/>
      <c r="N39" s="253"/>
      <c r="O39" s="254"/>
      <c r="P39" s="252"/>
      <c r="Q39" s="253"/>
      <c r="R39" s="253"/>
      <c r="S39" s="253"/>
      <c r="T39" s="253"/>
      <c r="U39" s="254"/>
      <c r="V39" s="261"/>
      <c r="W39" s="262"/>
      <c r="X39" s="262"/>
      <c r="Y39" s="262"/>
      <c r="Z39" s="262"/>
      <c r="AA39" s="263"/>
      <c r="AB39" s="279"/>
      <c r="AC39" s="280"/>
      <c r="AD39" s="280"/>
      <c r="AE39" s="280"/>
      <c r="AF39" s="280"/>
      <c r="AG39" s="281"/>
      <c r="AH39" s="270"/>
      <c r="AI39" s="271"/>
      <c r="AJ39" s="271"/>
      <c r="AK39" s="271"/>
      <c r="AL39" s="271"/>
      <c r="AM39" s="272"/>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35">
      <c r="A40" s="83"/>
      <c r="B40" s="299"/>
      <c r="C40" s="299"/>
      <c r="D40" s="300"/>
      <c r="E40" s="292"/>
      <c r="F40" s="293"/>
      <c r="G40" s="293"/>
      <c r="H40" s="293"/>
      <c r="I40" s="294"/>
      <c r="J40" s="252" t="str">
        <f>IF(AND('Mapa final'!$H$13="Muy Baja",'Mapa final'!$L$13="Leve"),CONCATENATE("R",'Mapa final'!$A$13),"")</f>
        <v/>
      </c>
      <c r="K40" s="253"/>
      <c r="L40" s="253" t="str">
        <f>IF(AND('Mapa final'!$H$14="Muy Baja",'Mapa final'!$L$14="Leve"),CONCATENATE("R",'Mapa final'!$A$14),"")</f>
        <v/>
      </c>
      <c r="M40" s="253"/>
      <c r="N40" s="253" t="str">
        <f>IF(AND('Mapa final'!$H$15="Muy Baja",'Mapa final'!$L$15="Leve"),CONCATENATE("R",'Mapa final'!$A$15),"")</f>
        <v/>
      </c>
      <c r="O40" s="254"/>
      <c r="P40" s="252" t="str">
        <f>IF(AND('Mapa final'!$H$13="Muy Baja",'Mapa final'!$L$13="Menor"),CONCATENATE("R",'Mapa final'!$A$13),"")</f>
        <v/>
      </c>
      <c r="Q40" s="253"/>
      <c r="R40" s="253" t="str">
        <f>IF(AND('Mapa final'!$H$14="Muy Baja",'Mapa final'!$L$14="Menor"),CONCATENATE("R",'Mapa final'!$A$14),"")</f>
        <v/>
      </c>
      <c r="S40" s="253"/>
      <c r="T40" s="253" t="str">
        <f>IF(AND('Mapa final'!$H$15="Muy Baja",'Mapa final'!$L$15="Menor"),CONCATENATE("R",'Mapa final'!$A$15),"")</f>
        <v/>
      </c>
      <c r="U40" s="254"/>
      <c r="V40" s="261" t="str">
        <f>IF(AND('Mapa final'!$H$13="Muy Baja",'Mapa final'!$L$13="Moderado"),CONCATENATE("R",'Mapa final'!$A$13),"")</f>
        <v/>
      </c>
      <c r="W40" s="262"/>
      <c r="X40" s="262" t="str">
        <f>IF(AND('Mapa final'!$H$14="Muy Baja",'Mapa final'!$L$14="Moderado"),CONCATENATE("R",'Mapa final'!$A$14),"")</f>
        <v/>
      </c>
      <c r="Y40" s="262"/>
      <c r="Z40" s="262" t="str">
        <f>IF(AND('Mapa final'!$H$15="Muy Baja",'Mapa final'!$L$15="Moderado"),CONCATENATE("R",'Mapa final'!$A$15),"")</f>
        <v/>
      </c>
      <c r="AA40" s="263"/>
      <c r="AB40" s="279" t="str">
        <f>IF(AND('Mapa final'!$H$13="Muy Baja",'Mapa final'!$L$13="Mayor"),CONCATENATE("R",'Mapa final'!$A$13),"")</f>
        <v/>
      </c>
      <c r="AC40" s="280"/>
      <c r="AD40" s="280" t="str">
        <f>IF(AND('Mapa final'!$H$14="Muy Baja",'Mapa final'!$L$14="Mayor"),CONCATENATE("R",'Mapa final'!$A$14),"")</f>
        <v/>
      </c>
      <c r="AE40" s="280"/>
      <c r="AF40" s="280" t="str">
        <f>IF(AND('Mapa final'!$H$15="Muy Baja",'Mapa final'!$L$15="Mayor"),CONCATENATE("R",'Mapa final'!$A$15),"")</f>
        <v/>
      </c>
      <c r="AG40" s="281"/>
      <c r="AH40" s="270" t="str">
        <f>IF(AND('Mapa final'!$H$13="Muy Baja",'Mapa final'!$L$13="Catastrófico"),CONCATENATE("R",'Mapa final'!$A$13),"")</f>
        <v/>
      </c>
      <c r="AI40" s="271"/>
      <c r="AJ40" s="271" t="str">
        <f>IF(AND('Mapa final'!$H$14="Muy Baja",'Mapa final'!$L$14="Catastrófico"),CONCATENATE("R",'Mapa final'!$A$14),"")</f>
        <v/>
      </c>
      <c r="AK40" s="271"/>
      <c r="AL40" s="271" t="str">
        <f>IF(AND('Mapa final'!$H$15="Muy Baja",'Mapa final'!$L$15="Catastrófico"),CONCATENATE("R",'Mapa final'!$A$15),"")</f>
        <v/>
      </c>
      <c r="AM40" s="272"/>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35">
      <c r="A41" s="83"/>
      <c r="B41" s="299"/>
      <c r="C41" s="299"/>
      <c r="D41" s="300"/>
      <c r="E41" s="292"/>
      <c r="F41" s="293"/>
      <c r="G41" s="293"/>
      <c r="H41" s="293"/>
      <c r="I41" s="294"/>
      <c r="J41" s="252"/>
      <c r="K41" s="253"/>
      <c r="L41" s="253"/>
      <c r="M41" s="253"/>
      <c r="N41" s="253"/>
      <c r="O41" s="254"/>
      <c r="P41" s="252"/>
      <c r="Q41" s="253"/>
      <c r="R41" s="253"/>
      <c r="S41" s="253"/>
      <c r="T41" s="253"/>
      <c r="U41" s="254"/>
      <c r="V41" s="261"/>
      <c r="W41" s="262"/>
      <c r="X41" s="262"/>
      <c r="Y41" s="262"/>
      <c r="Z41" s="262"/>
      <c r="AA41" s="263"/>
      <c r="AB41" s="279"/>
      <c r="AC41" s="280"/>
      <c r="AD41" s="280"/>
      <c r="AE41" s="280"/>
      <c r="AF41" s="280"/>
      <c r="AG41" s="281"/>
      <c r="AH41" s="270"/>
      <c r="AI41" s="271"/>
      <c r="AJ41" s="271"/>
      <c r="AK41" s="271"/>
      <c r="AL41" s="271"/>
      <c r="AM41" s="272"/>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35">
      <c r="A42" s="83"/>
      <c r="B42" s="299"/>
      <c r="C42" s="299"/>
      <c r="D42" s="300"/>
      <c r="E42" s="292"/>
      <c r="F42" s="293"/>
      <c r="G42" s="293"/>
      <c r="H42" s="293"/>
      <c r="I42" s="294"/>
      <c r="J42" s="252" t="str">
        <f>IF(AND('Mapa final'!$H$16="Muy Baja",'Mapa final'!$L$16="Leve"),CONCATENATE("R",'Mapa final'!$A$16),"")</f>
        <v/>
      </c>
      <c r="K42" s="253"/>
      <c r="L42" s="253" t="str">
        <f ca="1">IF(AND('Mapa final'!$H$17="Muy Baja",'Mapa final'!$L$17="Leve"),CONCATENATE("R",'Mapa final'!$A$17),"")</f>
        <v/>
      </c>
      <c r="M42" s="253"/>
      <c r="N42" s="253" t="str">
        <f ca="1">IF(AND('Mapa final'!$H$23="Muy Baja",'Mapa final'!$L$23="Leve"),CONCATENATE("R",'Mapa final'!$A$23),"")</f>
        <v/>
      </c>
      <c r="O42" s="254"/>
      <c r="P42" s="252" t="str">
        <f>IF(AND('Mapa final'!$H$16="Muy Baja",'Mapa final'!$L$16="Menor"),CONCATENATE("R",'Mapa final'!$A$16),"")</f>
        <v/>
      </c>
      <c r="Q42" s="253"/>
      <c r="R42" s="253" t="str">
        <f ca="1">IF(AND('Mapa final'!$H$17="Muy Baja",'Mapa final'!$L$17="Menor"),CONCATENATE("R",'Mapa final'!$A$17),"")</f>
        <v/>
      </c>
      <c r="S42" s="253"/>
      <c r="T42" s="253" t="str">
        <f ca="1">IF(AND('Mapa final'!$H$23="Muy Baja",'Mapa final'!$L$23="Menor"),CONCATENATE("R",'Mapa final'!$A$23),"")</f>
        <v/>
      </c>
      <c r="U42" s="254"/>
      <c r="V42" s="261" t="str">
        <f>IF(AND('Mapa final'!$H$16="Muy Baja",'Mapa final'!$L$16="Moderado"),CONCATENATE("R",'Mapa final'!$A$16),"")</f>
        <v/>
      </c>
      <c r="W42" s="262"/>
      <c r="X42" s="262" t="str">
        <f ca="1">IF(AND('Mapa final'!$H$17="Muy Baja",'Mapa final'!$L$17="Moderado"),CONCATENATE("R",'Mapa final'!$A$17),"")</f>
        <v/>
      </c>
      <c r="Y42" s="262"/>
      <c r="Z42" s="262" t="str">
        <f ca="1">IF(AND('Mapa final'!$H$23="Muy Baja",'Mapa final'!$L$23="Moderado"),CONCATENATE("R",'Mapa final'!$A$23),"")</f>
        <v/>
      </c>
      <c r="AA42" s="263"/>
      <c r="AB42" s="279" t="str">
        <f>IF(AND('Mapa final'!$H$16="Muy Baja",'Mapa final'!$L$16="Mayor"),CONCATENATE("R",'Mapa final'!$A$16),"")</f>
        <v/>
      </c>
      <c r="AC42" s="280"/>
      <c r="AD42" s="280" t="str">
        <f ca="1">IF(AND('Mapa final'!$H$17="Muy Baja",'Mapa final'!$L$17="Mayor"),CONCATENATE("R",'Mapa final'!$A$17),"")</f>
        <v/>
      </c>
      <c r="AE42" s="280"/>
      <c r="AF42" s="280" t="str">
        <f ca="1">IF(AND('Mapa final'!$H$23="Muy Baja",'Mapa final'!$L$23="Mayor"),CONCATENATE("R",'Mapa final'!$A$23),"")</f>
        <v/>
      </c>
      <c r="AG42" s="281"/>
      <c r="AH42" s="270" t="str">
        <f>IF(AND('Mapa final'!$H$16="Muy Baja",'Mapa final'!$L$16="Catastrófico"),CONCATENATE("R",'Mapa final'!$A$16),"")</f>
        <v/>
      </c>
      <c r="AI42" s="271"/>
      <c r="AJ42" s="271" t="str">
        <f ca="1">IF(AND('Mapa final'!$H$17="Muy Baja",'Mapa final'!$L$17="Catastrófico"),CONCATENATE("R",'Mapa final'!$A$17),"")</f>
        <v/>
      </c>
      <c r="AK42" s="271"/>
      <c r="AL42" s="271" t="str">
        <f ca="1">IF(AND('Mapa final'!$H$23="Muy Baja",'Mapa final'!$L$23="Catastrófico"),CONCATENATE("R",'Mapa final'!$A$23),"")</f>
        <v/>
      </c>
      <c r="AM42" s="272"/>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35">
      <c r="A43" s="83"/>
      <c r="B43" s="299"/>
      <c r="C43" s="299"/>
      <c r="D43" s="300"/>
      <c r="E43" s="292"/>
      <c r="F43" s="293"/>
      <c r="G43" s="293"/>
      <c r="H43" s="293"/>
      <c r="I43" s="294"/>
      <c r="J43" s="252"/>
      <c r="K43" s="253"/>
      <c r="L43" s="253"/>
      <c r="M43" s="253"/>
      <c r="N43" s="253"/>
      <c r="O43" s="254"/>
      <c r="P43" s="252"/>
      <c r="Q43" s="253"/>
      <c r="R43" s="253"/>
      <c r="S43" s="253"/>
      <c r="T43" s="253"/>
      <c r="U43" s="254"/>
      <c r="V43" s="261"/>
      <c r="W43" s="262"/>
      <c r="X43" s="262"/>
      <c r="Y43" s="262"/>
      <c r="Z43" s="262"/>
      <c r="AA43" s="263"/>
      <c r="AB43" s="279"/>
      <c r="AC43" s="280"/>
      <c r="AD43" s="280"/>
      <c r="AE43" s="280"/>
      <c r="AF43" s="280"/>
      <c r="AG43" s="281"/>
      <c r="AH43" s="270"/>
      <c r="AI43" s="271"/>
      <c r="AJ43" s="271"/>
      <c r="AK43" s="271"/>
      <c r="AL43" s="271"/>
      <c r="AM43" s="272"/>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35">
      <c r="A44" s="83"/>
      <c r="B44" s="299"/>
      <c r="C44" s="299"/>
      <c r="D44" s="300"/>
      <c r="E44" s="292"/>
      <c r="F44" s="293"/>
      <c r="G44" s="293"/>
      <c r="H44" s="293"/>
      <c r="I44" s="294"/>
      <c r="J44" s="252" t="str">
        <f ca="1">IF(AND('Mapa final'!$H$29="Muy Baja",'Mapa final'!$L$29="Leve"),CONCATENATE("R",'Mapa final'!$A$29),"")</f>
        <v/>
      </c>
      <c r="K44" s="253"/>
      <c r="L44" s="253" t="str">
        <f>IF(AND('Mapa final'!$H$35="Muy Baja",'Mapa final'!$L$35="Leve"),CONCATENATE("R",'Mapa final'!$A$35),"")</f>
        <v/>
      </c>
      <c r="M44" s="253"/>
      <c r="N44" s="253" t="str">
        <f>IF(AND('Mapa final'!$H$41="Muy Baja",'Mapa final'!$L$41="Leve"),CONCATENATE("R",'Mapa final'!$A$41),"")</f>
        <v/>
      </c>
      <c r="O44" s="254"/>
      <c r="P44" s="252" t="str">
        <f ca="1">IF(AND('Mapa final'!$H$29="Muy Baja",'Mapa final'!$L$29="Menor"),CONCATENATE("R",'Mapa final'!$A$29),"")</f>
        <v/>
      </c>
      <c r="Q44" s="253"/>
      <c r="R44" s="253" t="str">
        <f>IF(AND('Mapa final'!$H$35="Muy Baja",'Mapa final'!$L$35="Menor"),CONCATENATE("R",'Mapa final'!$A$35),"")</f>
        <v/>
      </c>
      <c r="S44" s="253"/>
      <c r="T44" s="253" t="str">
        <f>IF(AND('Mapa final'!$H$41="Muy Baja",'Mapa final'!$L$41="Menor"),CONCATENATE("R",'Mapa final'!$A$41),"")</f>
        <v/>
      </c>
      <c r="U44" s="254"/>
      <c r="V44" s="261" t="str">
        <f ca="1">IF(AND('Mapa final'!$H$29="Muy Baja",'Mapa final'!$L$29="Moderado"),CONCATENATE("R",'Mapa final'!$A$29),"")</f>
        <v/>
      </c>
      <c r="W44" s="262"/>
      <c r="X44" s="262" t="str">
        <f>IF(AND('Mapa final'!$H$35="Muy Baja",'Mapa final'!$L$35="Moderado"),CONCATENATE("R",'Mapa final'!$A$35),"")</f>
        <v/>
      </c>
      <c r="Y44" s="262"/>
      <c r="Z44" s="262" t="str">
        <f>IF(AND('Mapa final'!$H$41="Muy Baja",'Mapa final'!$L$41="Moderado"),CONCATENATE("R",'Mapa final'!$A$41),"")</f>
        <v/>
      </c>
      <c r="AA44" s="263"/>
      <c r="AB44" s="279" t="str">
        <f ca="1">IF(AND('Mapa final'!$H$29="Muy Baja",'Mapa final'!$L$29="Mayor"),CONCATENATE("R",'Mapa final'!$A$29),"")</f>
        <v/>
      </c>
      <c r="AC44" s="280"/>
      <c r="AD44" s="280" t="str">
        <f>IF(AND('Mapa final'!$H$35="Muy Baja",'Mapa final'!$L$35="Mayor"),CONCATENATE("R",'Mapa final'!$A$35),"")</f>
        <v/>
      </c>
      <c r="AE44" s="280"/>
      <c r="AF44" s="280" t="str">
        <f>IF(AND('Mapa final'!$H$41="Muy Baja",'Mapa final'!$L$41="Mayor"),CONCATENATE("R",'Mapa final'!$A$41),"")</f>
        <v/>
      </c>
      <c r="AG44" s="281"/>
      <c r="AH44" s="270" t="str">
        <f ca="1">IF(AND('Mapa final'!$H$29="Muy Baja",'Mapa final'!$L$29="Catastrófico"),CONCATENATE("R",'Mapa final'!$A$29),"")</f>
        <v/>
      </c>
      <c r="AI44" s="271"/>
      <c r="AJ44" s="271" t="str">
        <f>IF(AND('Mapa final'!$H$35="Muy Baja",'Mapa final'!$L$35="Catastrófico"),CONCATENATE("R",'Mapa final'!$A$35),"")</f>
        <v/>
      </c>
      <c r="AK44" s="271"/>
      <c r="AL44" s="271" t="str">
        <f>IF(AND('Mapa final'!$H$41="Muy Baja",'Mapa final'!$L$41="Catastrófico"),CONCATENATE("R",'Mapa final'!$A$41),"")</f>
        <v/>
      </c>
      <c r="AM44" s="272"/>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 thickBot="1" x14ac:dyDescent="0.4">
      <c r="A45" s="83"/>
      <c r="B45" s="299"/>
      <c r="C45" s="299"/>
      <c r="D45" s="300"/>
      <c r="E45" s="295"/>
      <c r="F45" s="296"/>
      <c r="G45" s="296"/>
      <c r="H45" s="296"/>
      <c r="I45" s="297"/>
      <c r="J45" s="255"/>
      <c r="K45" s="256"/>
      <c r="L45" s="256"/>
      <c r="M45" s="256"/>
      <c r="N45" s="256"/>
      <c r="O45" s="257"/>
      <c r="P45" s="255"/>
      <c r="Q45" s="256"/>
      <c r="R45" s="256"/>
      <c r="S45" s="256"/>
      <c r="T45" s="256"/>
      <c r="U45" s="257"/>
      <c r="V45" s="264"/>
      <c r="W45" s="265"/>
      <c r="X45" s="265"/>
      <c r="Y45" s="265"/>
      <c r="Z45" s="265"/>
      <c r="AA45" s="266"/>
      <c r="AB45" s="282"/>
      <c r="AC45" s="283"/>
      <c r="AD45" s="283"/>
      <c r="AE45" s="283"/>
      <c r="AF45" s="283"/>
      <c r="AG45" s="284"/>
      <c r="AH45" s="273"/>
      <c r="AI45" s="274"/>
      <c r="AJ45" s="274"/>
      <c r="AK45" s="274"/>
      <c r="AL45" s="274"/>
      <c r="AM45" s="275"/>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35">
      <c r="A46" s="83"/>
      <c r="B46" s="83"/>
      <c r="C46" s="83"/>
      <c r="D46" s="83"/>
      <c r="E46" s="83"/>
      <c r="F46" s="83"/>
      <c r="G46" s="83"/>
      <c r="H46" s="83"/>
      <c r="I46" s="83"/>
      <c r="J46" s="289" t="s">
        <v>112</v>
      </c>
      <c r="K46" s="290"/>
      <c r="L46" s="290"/>
      <c r="M46" s="290"/>
      <c r="N46" s="290"/>
      <c r="O46" s="291"/>
      <c r="P46" s="289" t="s">
        <v>111</v>
      </c>
      <c r="Q46" s="290"/>
      <c r="R46" s="290"/>
      <c r="S46" s="290"/>
      <c r="T46" s="290"/>
      <c r="U46" s="291"/>
      <c r="V46" s="289" t="s">
        <v>110</v>
      </c>
      <c r="W46" s="290"/>
      <c r="X46" s="290"/>
      <c r="Y46" s="290"/>
      <c r="Z46" s="290"/>
      <c r="AA46" s="291"/>
      <c r="AB46" s="289" t="s">
        <v>109</v>
      </c>
      <c r="AC46" s="298"/>
      <c r="AD46" s="290"/>
      <c r="AE46" s="290"/>
      <c r="AF46" s="290"/>
      <c r="AG46" s="291"/>
      <c r="AH46" s="289" t="s">
        <v>108</v>
      </c>
      <c r="AI46" s="290"/>
      <c r="AJ46" s="290"/>
      <c r="AK46" s="290"/>
      <c r="AL46" s="290"/>
      <c r="AM46" s="291"/>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35">
      <c r="A47" s="83"/>
      <c r="B47" s="83"/>
      <c r="C47" s="83"/>
      <c r="D47" s="83"/>
      <c r="E47" s="83"/>
      <c r="F47" s="83"/>
      <c r="G47" s="83"/>
      <c r="H47" s="83"/>
      <c r="I47" s="83"/>
      <c r="J47" s="292"/>
      <c r="K47" s="293"/>
      <c r="L47" s="293"/>
      <c r="M47" s="293"/>
      <c r="N47" s="293"/>
      <c r="O47" s="294"/>
      <c r="P47" s="292"/>
      <c r="Q47" s="293"/>
      <c r="R47" s="293"/>
      <c r="S47" s="293"/>
      <c r="T47" s="293"/>
      <c r="U47" s="294"/>
      <c r="V47" s="292"/>
      <c r="W47" s="293"/>
      <c r="X47" s="293"/>
      <c r="Y47" s="293"/>
      <c r="Z47" s="293"/>
      <c r="AA47" s="294"/>
      <c r="AB47" s="292"/>
      <c r="AC47" s="293"/>
      <c r="AD47" s="293"/>
      <c r="AE47" s="293"/>
      <c r="AF47" s="293"/>
      <c r="AG47" s="294"/>
      <c r="AH47" s="292"/>
      <c r="AI47" s="293"/>
      <c r="AJ47" s="293"/>
      <c r="AK47" s="293"/>
      <c r="AL47" s="293"/>
      <c r="AM47" s="294"/>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35">
      <c r="A48" s="83"/>
      <c r="B48" s="83"/>
      <c r="C48" s="83"/>
      <c r="D48" s="83"/>
      <c r="E48" s="83"/>
      <c r="F48" s="83"/>
      <c r="G48" s="83"/>
      <c r="H48" s="83"/>
      <c r="I48" s="83"/>
      <c r="J48" s="292"/>
      <c r="K48" s="293"/>
      <c r="L48" s="293"/>
      <c r="M48" s="293"/>
      <c r="N48" s="293"/>
      <c r="O48" s="294"/>
      <c r="P48" s="292"/>
      <c r="Q48" s="293"/>
      <c r="R48" s="293"/>
      <c r="S48" s="293"/>
      <c r="T48" s="293"/>
      <c r="U48" s="294"/>
      <c r="V48" s="292"/>
      <c r="W48" s="293"/>
      <c r="X48" s="293"/>
      <c r="Y48" s="293"/>
      <c r="Z48" s="293"/>
      <c r="AA48" s="294"/>
      <c r="AB48" s="292"/>
      <c r="AC48" s="293"/>
      <c r="AD48" s="293"/>
      <c r="AE48" s="293"/>
      <c r="AF48" s="293"/>
      <c r="AG48" s="294"/>
      <c r="AH48" s="292"/>
      <c r="AI48" s="293"/>
      <c r="AJ48" s="293"/>
      <c r="AK48" s="293"/>
      <c r="AL48" s="293"/>
      <c r="AM48" s="294"/>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35">
      <c r="A49" s="83"/>
      <c r="B49" s="83"/>
      <c r="C49" s="83"/>
      <c r="D49" s="83"/>
      <c r="E49" s="83"/>
      <c r="F49" s="83"/>
      <c r="G49" s="83"/>
      <c r="H49" s="83"/>
      <c r="I49" s="83"/>
      <c r="J49" s="292"/>
      <c r="K49" s="293"/>
      <c r="L49" s="293"/>
      <c r="M49" s="293"/>
      <c r="N49" s="293"/>
      <c r="O49" s="294"/>
      <c r="P49" s="292"/>
      <c r="Q49" s="293"/>
      <c r="R49" s="293"/>
      <c r="S49" s="293"/>
      <c r="T49" s="293"/>
      <c r="U49" s="294"/>
      <c r="V49" s="292"/>
      <c r="W49" s="293"/>
      <c r="X49" s="293"/>
      <c r="Y49" s="293"/>
      <c r="Z49" s="293"/>
      <c r="AA49" s="294"/>
      <c r="AB49" s="292"/>
      <c r="AC49" s="293"/>
      <c r="AD49" s="293"/>
      <c r="AE49" s="293"/>
      <c r="AF49" s="293"/>
      <c r="AG49" s="294"/>
      <c r="AH49" s="292"/>
      <c r="AI49" s="293"/>
      <c r="AJ49" s="293"/>
      <c r="AK49" s="293"/>
      <c r="AL49" s="293"/>
      <c r="AM49" s="294"/>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35">
      <c r="A50" s="83"/>
      <c r="B50" s="83"/>
      <c r="C50" s="83"/>
      <c r="D50" s="83"/>
      <c r="E50" s="83"/>
      <c r="F50" s="83"/>
      <c r="G50" s="83"/>
      <c r="H50" s="83"/>
      <c r="I50" s="83"/>
      <c r="J50" s="292"/>
      <c r="K50" s="293"/>
      <c r="L50" s="293"/>
      <c r="M50" s="293"/>
      <c r="N50" s="293"/>
      <c r="O50" s="294"/>
      <c r="P50" s="292"/>
      <c r="Q50" s="293"/>
      <c r="R50" s="293"/>
      <c r="S50" s="293"/>
      <c r="T50" s="293"/>
      <c r="U50" s="294"/>
      <c r="V50" s="292"/>
      <c r="W50" s="293"/>
      <c r="X50" s="293"/>
      <c r="Y50" s="293"/>
      <c r="Z50" s="293"/>
      <c r="AA50" s="294"/>
      <c r="AB50" s="292"/>
      <c r="AC50" s="293"/>
      <c r="AD50" s="293"/>
      <c r="AE50" s="293"/>
      <c r="AF50" s="293"/>
      <c r="AG50" s="294"/>
      <c r="AH50" s="292"/>
      <c r="AI50" s="293"/>
      <c r="AJ50" s="293"/>
      <c r="AK50" s="293"/>
      <c r="AL50" s="293"/>
      <c r="AM50" s="294"/>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thickBot="1" x14ac:dyDescent="0.4">
      <c r="A51" s="83"/>
      <c r="B51" s="83"/>
      <c r="C51" s="83"/>
      <c r="D51" s="83"/>
      <c r="E51" s="83"/>
      <c r="F51" s="83"/>
      <c r="G51" s="83"/>
      <c r="H51" s="83"/>
      <c r="I51" s="83"/>
      <c r="J51" s="295"/>
      <c r="K51" s="296"/>
      <c r="L51" s="296"/>
      <c r="M51" s="296"/>
      <c r="N51" s="296"/>
      <c r="O51" s="297"/>
      <c r="P51" s="295"/>
      <c r="Q51" s="296"/>
      <c r="R51" s="296"/>
      <c r="S51" s="296"/>
      <c r="T51" s="296"/>
      <c r="U51" s="297"/>
      <c r="V51" s="295"/>
      <c r="W51" s="296"/>
      <c r="X51" s="296"/>
      <c r="Y51" s="296"/>
      <c r="Z51" s="296"/>
      <c r="AA51" s="297"/>
      <c r="AB51" s="295"/>
      <c r="AC51" s="296"/>
      <c r="AD51" s="296"/>
      <c r="AE51" s="296"/>
      <c r="AF51" s="296"/>
      <c r="AG51" s="297"/>
      <c r="AH51" s="295"/>
      <c r="AI51" s="296"/>
      <c r="AJ51" s="296"/>
      <c r="AK51" s="296"/>
      <c r="AL51" s="296"/>
      <c r="AM51" s="297"/>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3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3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3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3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3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3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3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3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3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3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3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3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3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3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3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3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3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3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3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3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3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3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3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3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3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3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3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3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3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3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3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3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3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3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3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3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3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3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3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3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3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3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3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3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3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3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3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3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3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3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3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3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3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3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3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3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3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3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3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3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3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3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3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3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3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3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3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3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3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3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3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3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3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3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3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3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3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35">
      <c r="B137" s="83"/>
      <c r="C137" s="83"/>
      <c r="D137" s="83"/>
      <c r="E137" s="83"/>
      <c r="F137" s="83"/>
      <c r="G137" s="83"/>
      <c r="H137" s="83"/>
      <c r="I137" s="83"/>
    </row>
    <row r="138" spans="2:63" x14ac:dyDescent="0.35">
      <c r="B138" s="83"/>
      <c r="C138" s="83"/>
      <c r="D138" s="83"/>
      <c r="E138" s="83"/>
      <c r="F138" s="83"/>
      <c r="G138" s="83"/>
      <c r="H138" s="83"/>
      <c r="I138" s="83"/>
    </row>
    <row r="139" spans="2:63" x14ac:dyDescent="0.35">
      <c r="B139" s="83"/>
      <c r="C139" s="83"/>
      <c r="D139" s="83"/>
      <c r="E139" s="83"/>
      <c r="F139" s="83"/>
      <c r="G139" s="83"/>
      <c r="H139" s="83"/>
      <c r="I139" s="83"/>
    </row>
    <row r="140" spans="2:63" x14ac:dyDescent="0.3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4.5" x14ac:dyDescent="0.35"/>
  <cols>
    <col min="2" max="18" width="5.7265625" customWidth="1"/>
    <col min="19" max="19" width="8.36328125" customWidth="1"/>
    <col min="20" max="23" width="5.7265625" customWidth="1"/>
    <col min="24" max="24" width="8.54296875" customWidth="1"/>
    <col min="25" max="26" width="5.7265625" customWidth="1"/>
    <col min="27" max="27" width="10.7265625" customWidth="1"/>
    <col min="28" max="28" width="5.7265625" customWidth="1"/>
    <col min="29" max="29" width="7.36328125" customWidth="1"/>
    <col min="30" max="33" width="5.7265625" customWidth="1"/>
    <col min="34" max="34" width="8.54296875" customWidth="1"/>
    <col min="35" max="39" width="5.7265625" customWidth="1"/>
    <col min="41" max="46" width="5.7265625" customWidth="1"/>
  </cols>
  <sheetData>
    <row r="1" spans="1:91" x14ac:dyDescent="0.3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35">
      <c r="A2" s="83"/>
      <c r="B2" s="366" t="s">
        <v>159</v>
      </c>
      <c r="C2" s="367"/>
      <c r="D2" s="367"/>
      <c r="E2" s="367"/>
      <c r="F2" s="367"/>
      <c r="G2" s="367"/>
      <c r="H2" s="367"/>
      <c r="I2" s="367"/>
      <c r="J2" s="288" t="s">
        <v>2</v>
      </c>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35">
      <c r="A3" s="83"/>
      <c r="B3" s="367"/>
      <c r="C3" s="367"/>
      <c r="D3" s="367"/>
      <c r="E3" s="367"/>
      <c r="F3" s="367"/>
      <c r="G3" s="367"/>
      <c r="H3" s="367"/>
      <c r="I3" s="367"/>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35">
      <c r="A4" s="83"/>
      <c r="B4" s="367"/>
      <c r="C4" s="367"/>
      <c r="D4" s="367"/>
      <c r="E4" s="367"/>
      <c r="F4" s="367"/>
      <c r="G4" s="367"/>
      <c r="H4" s="367"/>
      <c r="I4" s="367"/>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 thickBot="1" x14ac:dyDescent="0.4">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35">
      <c r="A6" s="83"/>
      <c r="B6" s="299" t="s">
        <v>4</v>
      </c>
      <c r="C6" s="299"/>
      <c r="D6" s="300"/>
      <c r="E6" s="337" t="s">
        <v>116</v>
      </c>
      <c r="F6" s="338"/>
      <c r="G6" s="338"/>
      <c r="H6" s="338"/>
      <c r="I6" s="339"/>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7" t="s">
        <v>79</v>
      </c>
      <c r="AP6" s="358"/>
      <c r="AQ6" s="358"/>
      <c r="AR6" s="358"/>
      <c r="AS6" s="358"/>
      <c r="AT6" s="35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35">
      <c r="A7" s="83"/>
      <c r="B7" s="299"/>
      <c r="C7" s="299"/>
      <c r="D7" s="300"/>
      <c r="E7" s="340"/>
      <c r="F7" s="341"/>
      <c r="G7" s="341"/>
      <c r="H7" s="341"/>
      <c r="I7" s="342"/>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60"/>
      <c r="AP7" s="361"/>
      <c r="AQ7" s="361"/>
      <c r="AR7" s="361"/>
      <c r="AS7" s="361"/>
      <c r="AT7" s="36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35">
      <c r="A8" s="83"/>
      <c r="B8" s="299"/>
      <c r="C8" s="299"/>
      <c r="D8" s="300"/>
      <c r="E8" s="340"/>
      <c r="F8" s="341"/>
      <c r="G8" s="341"/>
      <c r="H8" s="341"/>
      <c r="I8" s="342"/>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60"/>
      <c r="AP8" s="361"/>
      <c r="AQ8" s="361"/>
      <c r="AR8" s="361"/>
      <c r="AS8" s="361"/>
      <c r="AT8" s="36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35">
      <c r="A9" s="83"/>
      <c r="B9" s="299"/>
      <c r="C9" s="299"/>
      <c r="D9" s="300"/>
      <c r="E9" s="340"/>
      <c r="F9" s="341"/>
      <c r="G9" s="341"/>
      <c r="H9" s="341"/>
      <c r="I9" s="342"/>
      <c r="J9" s="52" t="str">
        <f>IF(AND('Mapa final'!$Y$13="Muy Alta",'Mapa final'!$AA$13="Leve"),CONCATENATE("R4C",'Mapa final'!$O$13),"")</f>
        <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str">
        <f>IF(AND('Mapa final'!$Y$13="Muy Alta",'Mapa final'!$AA$13="Menor"),CONCATENATE("R4C",'Mapa final'!$O$13),"")</f>
        <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str">
        <f>IF(AND('Mapa final'!$Y$13="Muy Alta",'Mapa final'!$AA$13="Moderado"),CONCATENATE("R4C",'Mapa final'!$O$13),"")</f>
        <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str">
        <f>IF(AND('Mapa final'!$Y$13="Muy Alta",'Mapa final'!$AA$13="Mayor"),CONCATENATE("R4C",'Mapa final'!$O$13),"")</f>
        <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str">
        <f>IF(AND('Mapa final'!$Y$13="Muy Alta",'Mapa final'!$AA$13="Catastrófico"),CONCATENATE("R4C",'Mapa final'!$O$13),"")</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60"/>
      <c r="AP9" s="361"/>
      <c r="AQ9" s="361"/>
      <c r="AR9" s="361"/>
      <c r="AS9" s="361"/>
      <c r="AT9" s="36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35">
      <c r="A10" s="83"/>
      <c r="B10" s="299"/>
      <c r="C10" s="299"/>
      <c r="D10" s="300"/>
      <c r="E10" s="340"/>
      <c r="F10" s="341"/>
      <c r="G10" s="341"/>
      <c r="H10" s="341"/>
      <c r="I10" s="342"/>
      <c r="J10" s="52" t="str">
        <f>IF(AND('Mapa final'!$Y$14="Muy Alta",'Mapa final'!$AA$14="Leve"),CONCATENATE("R5C",'Mapa final'!$O$14),"")</f>
        <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str">
        <f>IF(AND('Mapa final'!$Y$14="Muy Alta",'Mapa final'!$AA$14="Menor"),CONCATENATE("R5C",'Mapa final'!$O$14),"")</f>
        <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str">
        <f>IF(AND('Mapa final'!$Y$14="Muy Alta",'Mapa final'!$AA$14="Moderado"),CONCATENATE("R5C",'Mapa final'!$O$14),"")</f>
        <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str">
        <f>IF(AND('Mapa final'!$Y$14="Muy Alta",'Mapa final'!$AA$14="Mayor"),CONCATENATE("R5C",'Mapa final'!$O$14),"")</f>
        <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str">
        <f>IF(AND('Mapa final'!$Y$14="Muy Alta",'Mapa final'!$AA$14="Catastrófico"),CONCATENATE("R5C",'Mapa final'!$O$14),"")</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60"/>
      <c r="AP10" s="361"/>
      <c r="AQ10" s="361"/>
      <c r="AR10" s="361"/>
      <c r="AS10" s="361"/>
      <c r="AT10" s="36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35">
      <c r="A11" s="83"/>
      <c r="B11" s="299"/>
      <c r="C11" s="299"/>
      <c r="D11" s="300"/>
      <c r="E11" s="340"/>
      <c r="F11" s="341"/>
      <c r="G11" s="341"/>
      <c r="H11" s="341"/>
      <c r="I11" s="342"/>
      <c r="J11" s="52" t="str">
        <f>IF(AND('Mapa final'!$Y$15="Muy Alta",'Mapa final'!$AA$15="Leve"),CONCATENATE("R6C",'Mapa final'!$O$15),"")</f>
        <v/>
      </c>
      <c r="K11" s="53" t="e">
        <f>IF(AND('Mapa final'!#REF!="Muy Alta",'Mapa final'!#REF!="Leve"),CONCATENATE("R6C",'Mapa final'!#REF!),"")</f>
        <v>#REF!</v>
      </c>
      <c r="L11" s="53" t="e">
        <f>IF(AND('Mapa final'!#REF!="Muy Alta",'Mapa final'!#REF!="Leve"),CONCATENATE("R6C",'Mapa final'!#REF!),"")</f>
        <v>#REF!</v>
      </c>
      <c r="M11" s="53" t="e">
        <f>IF(AND('Mapa final'!#REF!="Muy Alta",'Mapa final'!#REF!="Leve"),CONCATENATE("R6C",'Mapa final'!#REF!),"")</f>
        <v>#REF!</v>
      </c>
      <c r="N11" s="53" t="e">
        <f>IF(AND('Mapa final'!#REF!="Muy Alta",'Mapa final'!#REF!="Leve"),CONCATENATE("R6C",'Mapa final'!#REF!),"")</f>
        <v>#REF!</v>
      </c>
      <c r="O11" s="54" t="e">
        <f>IF(AND('Mapa final'!#REF!="Muy Alta",'Mapa final'!#REF!="Leve"),CONCATENATE("R6C",'Mapa final'!#REF!),"")</f>
        <v>#REF!</v>
      </c>
      <c r="P11" s="52" t="str">
        <f>IF(AND('Mapa final'!$Y$15="Muy Alta",'Mapa final'!$AA$15="Menor"),CONCATENATE("R6C",'Mapa final'!$O$15),"")</f>
        <v/>
      </c>
      <c r="Q11" s="53" t="e">
        <f>IF(AND('Mapa final'!#REF!="Muy Alta",'Mapa final'!#REF!="Menor"),CONCATENATE("R6C",'Mapa final'!#REF!),"")</f>
        <v>#REF!</v>
      </c>
      <c r="R11" s="53" t="e">
        <f>IF(AND('Mapa final'!#REF!="Muy Alta",'Mapa final'!#REF!="Menor"),CONCATENATE("R6C",'Mapa final'!#REF!),"")</f>
        <v>#REF!</v>
      </c>
      <c r="S11" s="53" t="e">
        <f>IF(AND('Mapa final'!#REF!="Muy Alta",'Mapa final'!#REF!="Menor"),CONCATENATE("R6C",'Mapa final'!#REF!),"")</f>
        <v>#REF!</v>
      </c>
      <c r="T11" s="53" t="e">
        <f>IF(AND('Mapa final'!#REF!="Muy Alta",'Mapa final'!#REF!="Menor"),CONCATENATE("R6C",'Mapa final'!#REF!),"")</f>
        <v>#REF!</v>
      </c>
      <c r="U11" s="54" t="e">
        <f>IF(AND('Mapa final'!#REF!="Muy Alta",'Mapa final'!#REF!="Menor"),CONCATENATE("R6C",'Mapa final'!#REF!),"")</f>
        <v>#REF!</v>
      </c>
      <c r="V11" s="52" t="str">
        <f>IF(AND('Mapa final'!$Y$15="Muy Alta",'Mapa final'!$AA$15="Moderado"),CONCATENATE("R6C",'Mapa final'!$O$15),"")</f>
        <v/>
      </c>
      <c r="W11" s="53" t="e">
        <f>IF(AND('Mapa final'!#REF!="Muy Alta",'Mapa final'!#REF!="Moderado"),CONCATENATE("R6C",'Mapa final'!#REF!),"")</f>
        <v>#REF!</v>
      </c>
      <c r="X11" s="53" t="e">
        <f>IF(AND('Mapa final'!#REF!="Muy Alta",'Mapa final'!#REF!="Moderado"),CONCATENATE("R6C",'Mapa final'!#REF!),"")</f>
        <v>#REF!</v>
      </c>
      <c r="Y11" s="53" t="e">
        <f>IF(AND('Mapa final'!#REF!="Muy Alta",'Mapa final'!#REF!="Moderado"),CONCATENATE("R6C",'Mapa final'!#REF!),"")</f>
        <v>#REF!</v>
      </c>
      <c r="Z11" s="53" t="e">
        <f>IF(AND('Mapa final'!#REF!="Muy Alta",'Mapa final'!#REF!="Moderado"),CONCATENATE("R6C",'Mapa final'!#REF!),"")</f>
        <v>#REF!</v>
      </c>
      <c r="AA11" s="54" t="e">
        <f>IF(AND('Mapa final'!#REF!="Muy Alta",'Mapa final'!#REF!="Moderado"),CONCATENATE("R6C",'Mapa final'!#REF!),"")</f>
        <v>#REF!</v>
      </c>
      <c r="AB11" s="52" t="str">
        <f>IF(AND('Mapa final'!$Y$15="Muy Alta",'Mapa final'!$AA$15="Mayor"),CONCATENATE("R6C",'Mapa final'!$O$15),"")</f>
        <v/>
      </c>
      <c r="AC11" s="53" t="e">
        <f>IF(AND('Mapa final'!#REF!="Muy Alta",'Mapa final'!#REF!="Mayor"),CONCATENATE("R6C",'Mapa final'!#REF!),"")</f>
        <v>#REF!</v>
      </c>
      <c r="AD11" s="53" t="e">
        <f>IF(AND('Mapa final'!#REF!="Muy Alta",'Mapa final'!#REF!="Mayor"),CONCATENATE("R6C",'Mapa final'!#REF!),"")</f>
        <v>#REF!</v>
      </c>
      <c r="AE11" s="53" t="e">
        <f>IF(AND('Mapa final'!#REF!="Muy Alta",'Mapa final'!#REF!="Mayor"),CONCATENATE("R6C",'Mapa final'!#REF!),"")</f>
        <v>#REF!</v>
      </c>
      <c r="AF11" s="53" t="e">
        <f>IF(AND('Mapa final'!#REF!="Muy Alta",'Mapa final'!#REF!="Mayor"),CONCATENATE("R6C",'Mapa final'!#REF!),"")</f>
        <v>#REF!</v>
      </c>
      <c r="AG11" s="54" t="e">
        <f>IF(AND('Mapa final'!#REF!="Muy Alta",'Mapa final'!#REF!="Mayor"),CONCATENATE("R6C",'Mapa final'!#REF!),"")</f>
        <v>#REF!</v>
      </c>
      <c r="AH11" s="55" t="str">
        <f>IF(AND('Mapa final'!$Y$15="Muy Alta",'Mapa final'!$AA$15="Catastrófico"),CONCATENATE("R6C",'Mapa final'!$O$15),"")</f>
        <v/>
      </c>
      <c r="AI11" s="56" t="e">
        <f>IF(AND('Mapa final'!#REF!="Muy Alta",'Mapa final'!#REF!="Catastrófico"),CONCATENATE("R6C",'Mapa final'!#REF!),"")</f>
        <v>#REF!</v>
      </c>
      <c r="AJ11" s="56" t="e">
        <f>IF(AND('Mapa final'!#REF!="Muy Alta",'Mapa final'!#REF!="Catastrófico"),CONCATENATE("R6C",'Mapa final'!#REF!),"")</f>
        <v>#REF!</v>
      </c>
      <c r="AK11" s="56" t="e">
        <f>IF(AND('Mapa final'!#REF!="Muy Alta",'Mapa final'!#REF!="Catastrófico"),CONCATENATE("R6C",'Mapa final'!#REF!),"")</f>
        <v>#REF!</v>
      </c>
      <c r="AL11" s="56" t="e">
        <f>IF(AND('Mapa final'!#REF!="Muy Alta",'Mapa final'!#REF!="Catastrófico"),CONCATENATE("R6C",'Mapa final'!#REF!),"")</f>
        <v>#REF!</v>
      </c>
      <c r="AM11" s="57" t="e">
        <f>IF(AND('Mapa final'!#REF!="Muy Alta",'Mapa final'!#REF!="Catastrófico"),CONCATENATE("R6C",'Mapa final'!#REF!),"")</f>
        <v>#REF!</v>
      </c>
      <c r="AN11" s="83"/>
      <c r="AO11" s="360"/>
      <c r="AP11" s="361"/>
      <c r="AQ11" s="361"/>
      <c r="AR11" s="361"/>
      <c r="AS11" s="361"/>
      <c r="AT11" s="36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35">
      <c r="A12" s="83"/>
      <c r="B12" s="299"/>
      <c r="C12" s="299"/>
      <c r="D12" s="300"/>
      <c r="E12" s="340"/>
      <c r="F12" s="341"/>
      <c r="G12" s="341"/>
      <c r="H12" s="341"/>
      <c r="I12" s="342"/>
      <c r="J12" s="52" t="str">
        <f>IF(AND('Mapa final'!$Y$16="Muy Alta",'Mapa final'!$AA$16="Leve"),CONCATENATE("R7C",'Mapa final'!$O$16),"")</f>
        <v/>
      </c>
      <c r="K12" s="53" t="e">
        <f>IF(AND('Mapa final'!#REF!="Muy Alta",'Mapa final'!#REF!="Leve"),CONCATENATE("R7C",'Mapa final'!#REF!),"")</f>
        <v>#REF!</v>
      </c>
      <c r="L12" s="53" t="e">
        <f>IF(AND('Mapa final'!#REF!="Muy Alta",'Mapa final'!#REF!="Leve"),CONCATENATE("R7C",'Mapa final'!#REF!),"")</f>
        <v>#REF!</v>
      </c>
      <c r="M12" s="53" t="e">
        <f>IF(AND('Mapa final'!#REF!="Muy Alta",'Mapa final'!#REF!="Leve"),CONCATENATE("R7C",'Mapa final'!#REF!),"")</f>
        <v>#REF!</v>
      </c>
      <c r="N12" s="53" t="e">
        <f>IF(AND('Mapa final'!#REF!="Muy Alta",'Mapa final'!#REF!="Leve"),CONCATENATE("R7C",'Mapa final'!#REF!),"")</f>
        <v>#REF!</v>
      </c>
      <c r="O12" s="54" t="e">
        <f>IF(AND('Mapa final'!#REF!="Muy Alta",'Mapa final'!#REF!="Leve"),CONCATENATE("R7C",'Mapa final'!#REF!),"")</f>
        <v>#REF!</v>
      </c>
      <c r="P12" s="52" t="str">
        <f>IF(AND('Mapa final'!$Y$16="Muy Alta",'Mapa final'!$AA$16="Menor"),CONCATENATE("R7C",'Mapa final'!$O$16),"")</f>
        <v/>
      </c>
      <c r="Q12" s="53" t="e">
        <f>IF(AND('Mapa final'!#REF!="Muy Alta",'Mapa final'!#REF!="Menor"),CONCATENATE("R7C",'Mapa final'!#REF!),"")</f>
        <v>#REF!</v>
      </c>
      <c r="R12" s="53" t="e">
        <f>IF(AND('Mapa final'!#REF!="Muy Alta",'Mapa final'!#REF!="Menor"),CONCATENATE("R7C",'Mapa final'!#REF!),"")</f>
        <v>#REF!</v>
      </c>
      <c r="S12" s="53" t="e">
        <f>IF(AND('Mapa final'!#REF!="Muy Alta",'Mapa final'!#REF!="Menor"),CONCATENATE("R7C",'Mapa final'!#REF!),"")</f>
        <v>#REF!</v>
      </c>
      <c r="T12" s="53" t="e">
        <f>IF(AND('Mapa final'!#REF!="Muy Alta",'Mapa final'!#REF!="Menor"),CONCATENATE("R7C",'Mapa final'!#REF!),"")</f>
        <v>#REF!</v>
      </c>
      <c r="U12" s="54" t="e">
        <f>IF(AND('Mapa final'!#REF!="Muy Alta",'Mapa final'!#REF!="Menor"),CONCATENATE("R7C",'Mapa final'!#REF!),"")</f>
        <v>#REF!</v>
      </c>
      <c r="V12" s="52" t="str">
        <f>IF(AND('Mapa final'!$Y$16="Muy Alta",'Mapa final'!$AA$16="Moderado"),CONCATENATE("R7C",'Mapa final'!$O$16),"")</f>
        <v/>
      </c>
      <c r="W12" s="53" t="e">
        <f>IF(AND('Mapa final'!#REF!="Muy Alta",'Mapa final'!#REF!="Moderado"),CONCATENATE("R7C",'Mapa final'!#REF!),"")</f>
        <v>#REF!</v>
      </c>
      <c r="X12" s="53" t="e">
        <f>IF(AND('Mapa final'!#REF!="Muy Alta",'Mapa final'!#REF!="Moderado"),CONCATENATE("R7C",'Mapa final'!#REF!),"")</f>
        <v>#REF!</v>
      </c>
      <c r="Y12" s="53" t="e">
        <f>IF(AND('Mapa final'!#REF!="Muy Alta",'Mapa final'!#REF!="Moderado"),CONCATENATE("R7C",'Mapa final'!#REF!),"")</f>
        <v>#REF!</v>
      </c>
      <c r="Z12" s="53" t="e">
        <f>IF(AND('Mapa final'!#REF!="Muy Alta",'Mapa final'!#REF!="Moderado"),CONCATENATE("R7C",'Mapa final'!#REF!),"")</f>
        <v>#REF!</v>
      </c>
      <c r="AA12" s="54" t="e">
        <f>IF(AND('Mapa final'!#REF!="Muy Alta",'Mapa final'!#REF!="Moderado"),CONCATENATE("R7C",'Mapa final'!#REF!),"")</f>
        <v>#REF!</v>
      </c>
      <c r="AB12" s="52" t="str">
        <f>IF(AND('Mapa final'!$Y$16="Muy Alta",'Mapa final'!$AA$16="Mayor"),CONCATENATE("R7C",'Mapa final'!$O$16),"")</f>
        <v/>
      </c>
      <c r="AC12" s="53" t="e">
        <f>IF(AND('Mapa final'!#REF!="Muy Alta",'Mapa final'!#REF!="Mayor"),CONCATENATE("R7C",'Mapa final'!#REF!),"")</f>
        <v>#REF!</v>
      </c>
      <c r="AD12" s="53" t="e">
        <f>IF(AND('Mapa final'!#REF!="Muy Alta",'Mapa final'!#REF!="Mayor"),CONCATENATE("R7C",'Mapa final'!#REF!),"")</f>
        <v>#REF!</v>
      </c>
      <c r="AE12" s="53" t="e">
        <f>IF(AND('Mapa final'!#REF!="Muy Alta",'Mapa final'!#REF!="Mayor"),CONCATENATE("R7C",'Mapa final'!#REF!),"")</f>
        <v>#REF!</v>
      </c>
      <c r="AF12" s="53" t="e">
        <f>IF(AND('Mapa final'!#REF!="Muy Alta",'Mapa final'!#REF!="Mayor"),CONCATENATE("R7C",'Mapa final'!#REF!),"")</f>
        <v>#REF!</v>
      </c>
      <c r="AG12" s="54" t="e">
        <f>IF(AND('Mapa final'!#REF!="Muy Alta",'Mapa final'!#REF!="Mayor"),CONCATENATE("R7C",'Mapa final'!#REF!),"")</f>
        <v>#REF!</v>
      </c>
      <c r="AH12" s="55" t="str">
        <f>IF(AND('Mapa final'!$Y$16="Muy Alta",'Mapa final'!$AA$16="Catastrófico"),CONCATENATE("R7C",'Mapa final'!$O$16),"")</f>
        <v/>
      </c>
      <c r="AI12" s="56" t="e">
        <f>IF(AND('Mapa final'!#REF!="Muy Alta",'Mapa final'!#REF!="Catastrófico"),CONCATENATE("R7C",'Mapa final'!#REF!),"")</f>
        <v>#REF!</v>
      </c>
      <c r="AJ12" s="56" t="e">
        <f>IF(AND('Mapa final'!#REF!="Muy Alta",'Mapa final'!#REF!="Catastrófico"),CONCATENATE("R7C",'Mapa final'!#REF!),"")</f>
        <v>#REF!</v>
      </c>
      <c r="AK12" s="56" t="e">
        <f>IF(AND('Mapa final'!#REF!="Muy Alta",'Mapa final'!#REF!="Catastrófico"),CONCATENATE("R7C",'Mapa final'!#REF!),"")</f>
        <v>#REF!</v>
      </c>
      <c r="AL12" s="56" t="e">
        <f>IF(AND('Mapa final'!#REF!="Muy Alta",'Mapa final'!#REF!="Catastrófico"),CONCATENATE("R7C",'Mapa final'!#REF!),"")</f>
        <v>#REF!</v>
      </c>
      <c r="AM12" s="57" t="e">
        <f>IF(AND('Mapa final'!#REF!="Muy Alta",'Mapa final'!#REF!="Catastrófico"),CONCATENATE("R7C",'Mapa final'!#REF!),"")</f>
        <v>#REF!</v>
      </c>
      <c r="AN12" s="83"/>
      <c r="AO12" s="360"/>
      <c r="AP12" s="361"/>
      <c r="AQ12" s="361"/>
      <c r="AR12" s="361"/>
      <c r="AS12" s="361"/>
      <c r="AT12" s="36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35">
      <c r="A13" s="83"/>
      <c r="B13" s="299"/>
      <c r="C13" s="299"/>
      <c r="D13" s="300"/>
      <c r="E13" s="340"/>
      <c r="F13" s="341"/>
      <c r="G13" s="341"/>
      <c r="H13" s="341"/>
      <c r="I13" s="342"/>
      <c r="J13" s="52" t="str">
        <f>IF(AND('Mapa final'!$Y$17="Muy Alta",'Mapa final'!$AA$17="Leve"),CONCATENATE("R8C",'Mapa final'!$O$17),"")</f>
        <v/>
      </c>
      <c r="K13" s="53" t="str">
        <f>IF(AND('Mapa final'!$Y$18="Muy Alta",'Mapa final'!$AA$18="Leve"),CONCATENATE("R8C",'Mapa final'!$O$18),"")</f>
        <v/>
      </c>
      <c r="L13" s="53" t="str">
        <f>IF(AND('Mapa final'!$Y$19="Muy Alta",'Mapa final'!$AA$19="Leve"),CONCATENATE("R8C",'Mapa final'!$O$19),"")</f>
        <v/>
      </c>
      <c r="M13" s="53" t="str">
        <f>IF(AND('Mapa final'!$Y$20="Muy Alta",'Mapa final'!$AA$20="Leve"),CONCATENATE("R8C",'Mapa final'!$O$20),"")</f>
        <v/>
      </c>
      <c r="N13" s="53" t="str">
        <f>IF(AND('Mapa final'!$Y$21="Muy Alta",'Mapa final'!$AA$21="Leve"),CONCATENATE("R8C",'Mapa final'!$O$21),"")</f>
        <v/>
      </c>
      <c r="O13" s="54" t="str">
        <f>IF(AND('Mapa final'!$Y$22="Muy Alta",'Mapa final'!$AA$22="Leve"),CONCATENATE("R8C",'Mapa final'!$O$22),"")</f>
        <v/>
      </c>
      <c r="P13" s="52" t="str">
        <f>IF(AND('Mapa final'!$Y$17="Muy Alta",'Mapa final'!$AA$17="Menor"),CONCATENATE("R8C",'Mapa final'!$O$17),"")</f>
        <v/>
      </c>
      <c r="Q13" s="53" t="str">
        <f>IF(AND('Mapa final'!$Y$18="Muy Alta",'Mapa final'!$AA$18="Menor"),CONCATENATE("R8C",'Mapa final'!$O$18),"")</f>
        <v/>
      </c>
      <c r="R13" s="53" t="str">
        <f>IF(AND('Mapa final'!$Y$19="Muy Alta",'Mapa final'!$AA$19="Menor"),CONCATENATE("R8C",'Mapa final'!$O$19),"")</f>
        <v/>
      </c>
      <c r="S13" s="53" t="str">
        <f>IF(AND('Mapa final'!$Y$20="Muy Alta",'Mapa final'!$AA$20="Menor"),CONCATENATE("R8C",'Mapa final'!$O$20),"")</f>
        <v/>
      </c>
      <c r="T13" s="53" t="str">
        <f>IF(AND('Mapa final'!$Y$21="Muy Alta",'Mapa final'!$AA$21="Menor"),CONCATENATE("R8C",'Mapa final'!$O$21),"")</f>
        <v/>
      </c>
      <c r="U13" s="54" t="str">
        <f>IF(AND('Mapa final'!$Y$22="Muy Alta",'Mapa final'!$AA$22="Menor"),CONCATENATE("R8C",'Mapa final'!$O$22),"")</f>
        <v/>
      </c>
      <c r="V13" s="52" t="str">
        <f>IF(AND('Mapa final'!$Y$17="Muy Alta",'Mapa final'!$AA$17="Moderado"),CONCATENATE("R8C",'Mapa final'!$O$17),"")</f>
        <v/>
      </c>
      <c r="W13" s="53" t="str">
        <f>IF(AND('Mapa final'!$Y$18="Muy Alta",'Mapa final'!$AA$18="Moderado"),CONCATENATE("R8C",'Mapa final'!$O$18),"")</f>
        <v/>
      </c>
      <c r="X13" s="53" t="str">
        <f>IF(AND('Mapa final'!$Y$19="Muy Alta",'Mapa final'!$AA$19="Moderado"),CONCATENATE("R8C",'Mapa final'!$O$19),"")</f>
        <v/>
      </c>
      <c r="Y13" s="53" t="str">
        <f>IF(AND('Mapa final'!$Y$20="Muy Alta",'Mapa final'!$AA$20="Moderado"),CONCATENATE("R8C",'Mapa final'!$O$20),"")</f>
        <v/>
      </c>
      <c r="Z13" s="53" t="str">
        <f>IF(AND('Mapa final'!$Y$21="Muy Alta",'Mapa final'!$AA$21="Moderado"),CONCATENATE("R8C",'Mapa final'!$O$21),"")</f>
        <v/>
      </c>
      <c r="AA13" s="54" t="str">
        <f>IF(AND('Mapa final'!$Y$22="Muy Alta",'Mapa final'!$AA$22="Moderado"),CONCATENATE("R8C",'Mapa final'!$O$22),"")</f>
        <v/>
      </c>
      <c r="AB13" s="52" t="str">
        <f>IF(AND('Mapa final'!$Y$17="Muy Alta",'Mapa final'!$AA$17="Mayor"),CONCATENATE("R8C",'Mapa final'!$O$17),"")</f>
        <v/>
      </c>
      <c r="AC13" s="53" t="str">
        <f>IF(AND('Mapa final'!$Y$18="Muy Alta",'Mapa final'!$AA$18="Mayor"),CONCATENATE("R8C",'Mapa final'!$O$18),"")</f>
        <v/>
      </c>
      <c r="AD13" s="53" t="str">
        <f>IF(AND('Mapa final'!$Y$19="Muy Alta",'Mapa final'!$AA$19="Mayor"),CONCATENATE("R8C",'Mapa final'!$O$19),"")</f>
        <v/>
      </c>
      <c r="AE13" s="53" t="str">
        <f>IF(AND('Mapa final'!$Y$20="Muy Alta",'Mapa final'!$AA$20="Mayor"),CONCATENATE("R8C",'Mapa final'!$O$20),"")</f>
        <v/>
      </c>
      <c r="AF13" s="53" t="str">
        <f>IF(AND('Mapa final'!$Y$21="Muy Alta",'Mapa final'!$AA$21="Mayor"),CONCATENATE("R8C",'Mapa final'!$O$21),"")</f>
        <v/>
      </c>
      <c r="AG13" s="54" t="str">
        <f>IF(AND('Mapa final'!$Y$22="Muy Alta",'Mapa final'!$AA$22="Mayor"),CONCATENATE("R8C",'Mapa final'!$O$22),"")</f>
        <v/>
      </c>
      <c r="AH13" s="55" t="str">
        <f>IF(AND('Mapa final'!$Y$17="Muy Alta",'Mapa final'!$AA$17="Catastrófico"),CONCATENATE("R8C",'Mapa final'!$O$17),"")</f>
        <v/>
      </c>
      <c r="AI13" s="56" t="str">
        <f>IF(AND('Mapa final'!$Y$18="Muy Alta",'Mapa final'!$AA$18="Catastrófico"),CONCATENATE("R8C",'Mapa final'!$O$18),"")</f>
        <v/>
      </c>
      <c r="AJ13" s="56" t="str">
        <f>IF(AND('Mapa final'!$Y$19="Muy Alta",'Mapa final'!$AA$19="Catastrófico"),CONCATENATE("R8C",'Mapa final'!$O$19),"")</f>
        <v/>
      </c>
      <c r="AK13" s="56" t="str">
        <f>IF(AND('Mapa final'!$Y$20="Muy Alta",'Mapa final'!$AA$20="Catastrófico"),CONCATENATE("R8C",'Mapa final'!$O$20),"")</f>
        <v/>
      </c>
      <c r="AL13" s="56" t="str">
        <f>IF(AND('Mapa final'!$Y$21="Muy Alta",'Mapa final'!$AA$21="Catastrófico"),CONCATENATE("R8C",'Mapa final'!$O$21),"")</f>
        <v/>
      </c>
      <c r="AM13" s="57" t="str">
        <f>IF(AND('Mapa final'!$Y$22="Muy Alta",'Mapa final'!$AA$22="Catastrófico"),CONCATENATE("R8C",'Mapa final'!$O$22),"")</f>
        <v/>
      </c>
      <c r="AN13" s="83"/>
      <c r="AO13" s="360"/>
      <c r="AP13" s="361"/>
      <c r="AQ13" s="361"/>
      <c r="AR13" s="361"/>
      <c r="AS13" s="361"/>
      <c r="AT13" s="36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35">
      <c r="A14" s="83"/>
      <c r="B14" s="299"/>
      <c r="C14" s="299"/>
      <c r="D14" s="300"/>
      <c r="E14" s="340"/>
      <c r="F14" s="341"/>
      <c r="G14" s="341"/>
      <c r="H14" s="341"/>
      <c r="I14" s="342"/>
      <c r="J14" s="52" t="str">
        <f>IF(AND('Mapa final'!$Y$23="Muy Alta",'Mapa final'!$AA$23="Leve"),CONCATENATE("R9C",'Mapa final'!$O$23),"")</f>
        <v/>
      </c>
      <c r="K14" s="53" t="str">
        <f>IF(AND('Mapa final'!$Y$24="Muy Alta",'Mapa final'!$AA$24="Leve"),CONCATENATE("R9C",'Mapa final'!$O$24),"")</f>
        <v/>
      </c>
      <c r="L14" s="53" t="str">
        <f>IF(AND('Mapa final'!$Y$25="Muy Alta",'Mapa final'!$AA$25="Leve"),CONCATENATE("R9C",'Mapa final'!$O$25),"")</f>
        <v/>
      </c>
      <c r="M14" s="53" t="str">
        <f>IF(AND('Mapa final'!$Y$26="Muy Alta",'Mapa final'!$AA$26="Leve"),CONCATENATE("R9C",'Mapa final'!$O$26),"")</f>
        <v/>
      </c>
      <c r="N14" s="53" t="str">
        <f>IF(AND('Mapa final'!$Y$27="Muy Alta",'Mapa final'!$AA$27="Leve"),CONCATENATE("R9C",'Mapa final'!$O$27),"")</f>
        <v/>
      </c>
      <c r="O14" s="54" t="str">
        <f>IF(AND('Mapa final'!$Y$28="Muy Alta",'Mapa final'!$AA$28="Leve"),CONCATENATE("R9C",'Mapa final'!$O$28),"")</f>
        <v/>
      </c>
      <c r="P14" s="52" t="str">
        <f>IF(AND('Mapa final'!$Y$23="Muy Alta",'Mapa final'!$AA$23="Menor"),CONCATENATE("R9C",'Mapa final'!$O$23),"")</f>
        <v/>
      </c>
      <c r="Q14" s="53" t="str">
        <f>IF(AND('Mapa final'!$Y$24="Muy Alta",'Mapa final'!$AA$24="Menor"),CONCATENATE("R9C",'Mapa final'!$O$24),"")</f>
        <v/>
      </c>
      <c r="R14" s="53" t="str">
        <f>IF(AND('Mapa final'!$Y$25="Muy Alta",'Mapa final'!$AA$25="Menor"),CONCATENATE("R9C",'Mapa final'!$O$25),"")</f>
        <v/>
      </c>
      <c r="S14" s="53" t="str">
        <f>IF(AND('Mapa final'!$Y$26="Muy Alta",'Mapa final'!$AA$26="Menor"),CONCATENATE("R9C",'Mapa final'!$O$26),"")</f>
        <v/>
      </c>
      <c r="T14" s="53" t="str">
        <f>IF(AND('Mapa final'!$Y$27="Muy Alta",'Mapa final'!$AA$27="Menor"),CONCATENATE("R9C",'Mapa final'!$O$27),"")</f>
        <v/>
      </c>
      <c r="U14" s="54" t="str">
        <f>IF(AND('Mapa final'!$Y$28="Muy Alta",'Mapa final'!$AA$28="Menor"),CONCATENATE("R9C",'Mapa final'!$O$28),"")</f>
        <v/>
      </c>
      <c r="V14" s="52" t="str">
        <f>IF(AND('Mapa final'!$Y$23="Muy Alta",'Mapa final'!$AA$23="Moderado"),CONCATENATE("R9C",'Mapa final'!$O$23),"")</f>
        <v/>
      </c>
      <c r="W14" s="53" t="str">
        <f>IF(AND('Mapa final'!$Y$24="Muy Alta",'Mapa final'!$AA$24="Moderado"),CONCATENATE("R9C",'Mapa final'!$O$24),"")</f>
        <v/>
      </c>
      <c r="X14" s="53" t="str">
        <f>IF(AND('Mapa final'!$Y$25="Muy Alta",'Mapa final'!$AA$25="Moderado"),CONCATENATE("R9C",'Mapa final'!$O$25),"")</f>
        <v/>
      </c>
      <c r="Y14" s="53" t="str">
        <f>IF(AND('Mapa final'!$Y$26="Muy Alta",'Mapa final'!$AA$26="Moderado"),CONCATENATE("R9C",'Mapa final'!$O$26),"")</f>
        <v/>
      </c>
      <c r="Z14" s="53" t="str">
        <f>IF(AND('Mapa final'!$Y$27="Muy Alta",'Mapa final'!$AA$27="Moderado"),CONCATENATE("R9C",'Mapa final'!$O$27),"")</f>
        <v/>
      </c>
      <c r="AA14" s="54" t="str">
        <f>IF(AND('Mapa final'!$Y$28="Muy Alta",'Mapa final'!$AA$28="Moderado"),CONCATENATE("R9C",'Mapa final'!$O$28),"")</f>
        <v/>
      </c>
      <c r="AB14" s="52" t="str">
        <f>IF(AND('Mapa final'!$Y$23="Muy Alta",'Mapa final'!$AA$23="Mayor"),CONCATENATE("R9C",'Mapa final'!$O$23),"")</f>
        <v/>
      </c>
      <c r="AC14" s="53" t="str">
        <f>IF(AND('Mapa final'!$Y$24="Muy Alta",'Mapa final'!$AA$24="Mayor"),CONCATENATE("R9C",'Mapa final'!$O$24),"")</f>
        <v/>
      </c>
      <c r="AD14" s="53" t="str">
        <f>IF(AND('Mapa final'!$Y$25="Muy Alta",'Mapa final'!$AA$25="Mayor"),CONCATENATE("R9C",'Mapa final'!$O$25),"")</f>
        <v/>
      </c>
      <c r="AE14" s="53" t="str">
        <f>IF(AND('Mapa final'!$Y$26="Muy Alta",'Mapa final'!$AA$26="Mayor"),CONCATENATE("R9C",'Mapa final'!$O$26),"")</f>
        <v/>
      </c>
      <c r="AF14" s="53" t="str">
        <f>IF(AND('Mapa final'!$Y$27="Muy Alta",'Mapa final'!$AA$27="Mayor"),CONCATENATE("R9C",'Mapa final'!$O$27),"")</f>
        <v/>
      </c>
      <c r="AG14" s="54" t="str">
        <f>IF(AND('Mapa final'!$Y$28="Muy Alta",'Mapa final'!$AA$28="Mayor"),CONCATENATE("R9C",'Mapa final'!$O$28),"")</f>
        <v/>
      </c>
      <c r="AH14" s="55" t="str">
        <f>IF(AND('Mapa final'!$Y$23="Muy Alta",'Mapa final'!$AA$23="Catastrófico"),CONCATENATE("R9C",'Mapa final'!$O$23),"")</f>
        <v/>
      </c>
      <c r="AI14" s="56" t="str">
        <f>IF(AND('Mapa final'!$Y$24="Muy Alta",'Mapa final'!$AA$24="Catastrófico"),CONCATENATE("R9C",'Mapa final'!$O$24),"")</f>
        <v/>
      </c>
      <c r="AJ14" s="56" t="str">
        <f>IF(AND('Mapa final'!$Y$25="Muy Alta",'Mapa final'!$AA$25="Catastrófico"),CONCATENATE("R9C",'Mapa final'!$O$25),"")</f>
        <v/>
      </c>
      <c r="AK14" s="56" t="str">
        <f>IF(AND('Mapa final'!$Y$26="Muy Alta",'Mapa final'!$AA$26="Catastrófico"),CONCATENATE("R9C",'Mapa final'!$O$26),"")</f>
        <v/>
      </c>
      <c r="AL14" s="56" t="str">
        <f>IF(AND('Mapa final'!$Y$27="Muy Alta",'Mapa final'!$AA$27="Catastrófico"),CONCATENATE("R9C",'Mapa final'!$O$27),"")</f>
        <v/>
      </c>
      <c r="AM14" s="57" t="str">
        <f>IF(AND('Mapa final'!$Y$28="Muy Alta",'Mapa final'!$AA$28="Catastrófico"),CONCATENATE("R9C",'Mapa final'!$O$28),"")</f>
        <v/>
      </c>
      <c r="AN14" s="83"/>
      <c r="AO14" s="360"/>
      <c r="AP14" s="361"/>
      <c r="AQ14" s="361"/>
      <c r="AR14" s="361"/>
      <c r="AS14" s="361"/>
      <c r="AT14" s="36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4">
      <c r="A15" s="83"/>
      <c r="B15" s="299"/>
      <c r="C15" s="299"/>
      <c r="D15" s="300"/>
      <c r="E15" s="343"/>
      <c r="F15" s="344"/>
      <c r="G15" s="344"/>
      <c r="H15" s="344"/>
      <c r="I15" s="345"/>
      <c r="J15" s="58" t="str">
        <f>IF(AND('Mapa final'!$Y$29="Muy Alta",'Mapa final'!$AA$29="Leve"),CONCATENATE("R10C",'Mapa final'!$O$29),"")</f>
        <v/>
      </c>
      <c r="K15" s="59" t="str">
        <f>IF(AND('Mapa final'!$Y$30="Muy Alta",'Mapa final'!$AA$30="Leve"),CONCATENATE("R10C",'Mapa final'!$O$30),"")</f>
        <v/>
      </c>
      <c r="L15" s="59" t="str">
        <f>IF(AND('Mapa final'!$Y$31="Muy Alta",'Mapa final'!$AA$31="Leve"),CONCATENATE("R10C",'Mapa final'!$O$31),"")</f>
        <v/>
      </c>
      <c r="M15" s="59" t="str">
        <f>IF(AND('Mapa final'!$Y$32="Muy Alta",'Mapa final'!$AA$32="Leve"),CONCATENATE("R10C",'Mapa final'!$O$32),"")</f>
        <v/>
      </c>
      <c r="N15" s="59" t="str">
        <f>IF(AND('Mapa final'!$Y$33="Muy Alta",'Mapa final'!$AA$33="Leve"),CONCATENATE("R10C",'Mapa final'!$O$33),"")</f>
        <v/>
      </c>
      <c r="O15" s="60" t="str">
        <f>IF(AND('Mapa final'!$Y$34="Muy Alta",'Mapa final'!$AA$34="Leve"),CONCATENATE("R10C",'Mapa final'!$O$34),"")</f>
        <v/>
      </c>
      <c r="P15" s="52" t="str">
        <f>IF(AND('Mapa final'!$Y$29="Muy Alta",'Mapa final'!$AA$29="Menor"),CONCATENATE("R10C",'Mapa final'!$O$29),"")</f>
        <v/>
      </c>
      <c r="Q15" s="53" t="str">
        <f>IF(AND('Mapa final'!$Y$30="Muy Alta",'Mapa final'!$AA$30="Menor"),CONCATENATE("R10C",'Mapa final'!$O$30),"")</f>
        <v/>
      </c>
      <c r="R15" s="53" t="str">
        <f>IF(AND('Mapa final'!$Y$31="Muy Alta",'Mapa final'!$AA$31="Menor"),CONCATENATE("R10C",'Mapa final'!$O$31),"")</f>
        <v/>
      </c>
      <c r="S15" s="53" t="str">
        <f>IF(AND('Mapa final'!$Y$32="Muy Alta",'Mapa final'!$AA$32="Menor"),CONCATENATE("R10C",'Mapa final'!$O$32),"")</f>
        <v/>
      </c>
      <c r="T15" s="53" t="str">
        <f>IF(AND('Mapa final'!$Y$33="Muy Alta",'Mapa final'!$AA$33="Menor"),CONCATENATE("R10C",'Mapa final'!$O$33),"")</f>
        <v/>
      </c>
      <c r="U15" s="54" t="str">
        <f>IF(AND('Mapa final'!$Y$34="Muy Alta",'Mapa final'!$AA$34="Menor"),CONCATENATE("R10C",'Mapa final'!$O$34),"")</f>
        <v/>
      </c>
      <c r="V15" s="58" t="str">
        <f>IF(AND('Mapa final'!$Y$29="Muy Alta",'Mapa final'!$AA$29="Moderado"),CONCATENATE("R10C",'Mapa final'!$O$29),"")</f>
        <v/>
      </c>
      <c r="W15" s="59" t="str">
        <f>IF(AND('Mapa final'!$Y$30="Muy Alta",'Mapa final'!$AA$30="Moderado"),CONCATENATE("R10C",'Mapa final'!$O$30),"")</f>
        <v/>
      </c>
      <c r="X15" s="59" t="str">
        <f>IF(AND('Mapa final'!$Y$31="Muy Alta",'Mapa final'!$AA$31="Moderado"),CONCATENATE("R10C",'Mapa final'!$O$31),"")</f>
        <v/>
      </c>
      <c r="Y15" s="59" t="str">
        <f>IF(AND('Mapa final'!$Y$32="Muy Alta",'Mapa final'!$AA$32="Moderado"),CONCATENATE("R10C",'Mapa final'!$O$32),"")</f>
        <v/>
      </c>
      <c r="Z15" s="59" t="str">
        <f>IF(AND('Mapa final'!$Y$33="Muy Alta",'Mapa final'!$AA$33="Moderado"),CONCATENATE("R10C",'Mapa final'!$O$33),"")</f>
        <v/>
      </c>
      <c r="AA15" s="60" t="str">
        <f>IF(AND('Mapa final'!$Y$34="Muy Alta",'Mapa final'!$AA$34="Moderado"),CONCATENATE("R10C",'Mapa final'!$O$34),"")</f>
        <v/>
      </c>
      <c r="AB15" s="52" t="str">
        <f>IF(AND('Mapa final'!$Y$29="Muy Alta",'Mapa final'!$AA$29="Mayor"),CONCATENATE("R10C",'Mapa final'!$O$29),"")</f>
        <v/>
      </c>
      <c r="AC15" s="53" t="str">
        <f>IF(AND('Mapa final'!$Y$30="Muy Alta",'Mapa final'!$AA$30="Mayor"),CONCATENATE("R10C",'Mapa final'!$O$30),"")</f>
        <v/>
      </c>
      <c r="AD15" s="53" t="str">
        <f>IF(AND('Mapa final'!$Y$31="Muy Alta",'Mapa final'!$AA$31="Mayor"),CONCATENATE("R10C",'Mapa final'!$O$31),"")</f>
        <v/>
      </c>
      <c r="AE15" s="53" t="str">
        <f>IF(AND('Mapa final'!$Y$32="Muy Alta",'Mapa final'!$AA$32="Mayor"),CONCATENATE("R10C",'Mapa final'!$O$32),"")</f>
        <v/>
      </c>
      <c r="AF15" s="53" t="str">
        <f>IF(AND('Mapa final'!$Y$33="Muy Alta",'Mapa final'!$AA$33="Mayor"),CONCATENATE("R10C",'Mapa final'!$O$33),"")</f>
        <v/>
      </c>
      <c r="AG15" s="54" t="str">
        <f>IF(AND('Mapa final'!$Y$34="Muy Alta",'Mapa final'!$AA$34="Mayor"),CONCATENATE("R10C",'Mapa final'!$O$34),"")</f>
        <v/>
      </c>
      <c r="AH15" s="61" t="str">
        <f>IF(AND('Mapa final'!$Y$29="Muy Alta",'Mapa final'!$AA$29="Catastrófico"),CONCATENATE("R10C",'Mapa final'!$O$29),"")</f>
        <v/>
      </c>
      <c r="AI15" s="62" t="str">
        <f>IF(AND('Mapa final'!$Y$30="Muy Alta",'Mapa final'!$AA$30="Catastrófico"),CONCATENATE("R10C",'Mapa final'!$O$30),"")</f>
        <v/>
      </c>
      <c r="AJ15" s="62" t="str">
        <f>IF(AND('Mapa final'!$Y$31="Muy Alta",'Mapa final'!$AA$31="Catastrófico"),CONCATENATE("R10C",'Mapa final'!$O$31),"")</f>
        <v/>
      </c>
      <c r="AK15" s="62" t="str">
        <f>IF(AND('Mapa final'!$Y$32="Muy Alta",'Mapa final'!$AA$32="Catastrófico"),CONCATENATE("R10C",'Mapa final'!$O$32),"")</f>
        <v/>
      </c>
      <c r="AL15" s="62" t="str">
        <f>IF(AND('Mapa final'!$Y$33="Muy Alta",'Mapa final'!$AA$33="Catastrófico"),CONCATENATE("R10C",'Mapa final'!$O$33),"")</f>
        <v/>
      </c>
      <c r="AM15" s="63" t="str">
        <f>IF(AND('Mapa final'!$Y$34="Muy Alta",'Mapa final'!$AA$34="Catastrófico"),CONCATENATE("R10C",'Mapa final'!$O$34),"")</f>
        <v/>
      </c>
      <c r="AN15" s="83"/>
      <c r="AO15" s="363"/>
      <c r="AP15" s="364"/>
      <c r="AQ15" s="364"/>
      <c r="AR15" s="364"/>
      <c r="AS15" s="364"/>
      <c r="AT15" s="36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35">
      <c r="A16" s="83"/>
      <c r="B16" s="299"/>
      <c r="C16" s="299"/>
      <c r="D16" s="300"/>
      <c r="E16" s="337" t="s">
        <v>115</v>
      </c>
      <c r="F16" s="338"/>
      <c r="G16" s="338"/>
      <c r="H16" s="338"/>
      <c r="I16" s="338"/>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47" t="s">
        <v>80</v>
      </c>
      <c r="AP16" s="348"/>
      <c r="AQ16" s="348"/>
      <c r="AR16" s="348"/>
      <c r="AS16" s="348"/>
      <c r="AT16" s="34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35">
      <c r="A17" s="83"/>
      <c r="B17" s="299"/>
      <c r="C17" s="299"/>
      <c r="D17" s="300"/>
      <c r="E17" s="356"/>
      <c r="F17" s="341"/>
      <c r="G17" s="341"/>
      <c r="H17" s="341"/>
      <c r="I17" s="341"/>
      <c r="J17" s="67" t="str">
        <f>IF(AND('Mapa final'!$Y$11="Alta",'Mapa final'!$AA$11="Leve"),CONCATENATE("R2C",'Mapa final'!$O$11),"")</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final'!$Y$11="Alta",'Mapa final'!$AA$11="Menor"),CONCATENATE("R2C",'Mapa final'!$O$11),"")</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50"/>
      <c r="AP17" s="351"/>
      <c r="AQ17" s="351"/>
      <c r="AR17" s="351"/>
      <c r="AS17" s="351"/>
      <c r="AT17" s="3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35">
      <c r="A18" s="83"/>
      <c r="B18" s="299"/>
      <c r="C18" s="299"/>
      <c r="D18" s="300"/>
      <c r="E18" s="340"/>
      <c r="F18" s="341"/>
      <c r="G18" s="341"/>
      <c r="H18" s="341"/>
      <c r="I18" s="341"/>
      <c r="J18" s="67" t="str">
        <f>IF(AND('Mapa final'!$Y$12="Alta",'Mapa final'!$AA$12="Leve"),CONCATENATE("R3C",'Mapa final'!$O$12),"")</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final'!$Y$12="Alta",'Mapa final'!$AA$12="Menor"),CONCATENATE("R3C",'Mapa final'!$O$12),"")</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50"/>
      <c r="AP18" s="351"/>
      <c r="AQ18" s="351"/>
      <c r="AR18" s="351"/>
      <c r="AS18" s="351"/>
      <c r="AT18" s="3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35">
      <c r="A19" s="83"/>
      <c r="B19" s="299"/>
      <c r="C19" s="299"/>
      <c r="D19" s="300"/>
      <c r="E19" s="340"/>
      <c r="F19" s="341"/>
      <c r="G19" s="341"/>
      <c r="H19" s="341"/>
      <c r="I19" s="341"/>
      <c r="J19" s="67" t="str">
        <f>IF(AND('Mapa final'!$Y$13="Alta",'Mapa final'!$AA$13="Leve"),CONCATENATE("R4C",'Mapa final'!$O$13),"")</f>
        <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str">
        <f>IF(AND('Mapa final'!$Y$13="Alta",'Mapa final'!$AA$13="Menor"),CONCATENATE("R4C",'Mapa final'!$O$13),"")</f>
        <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str">
        <f>IF(AND('Mapa final'!$Y$13="Alta",'Mapa final'!$AA$13="Moderado"),CONCATENATE("R4C",'Mapa final'!$O$13),"")</f>
        <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str">
        <f>IF(AND('Mapa final'!$Y$13="Alta",'Mapa final'!$AA$13="Mayor"),CONCATENATE("R4C",'Mapa final'!$O$13),"")</f>
        <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str">
        <f>IF(AND('Mapa final'!$Y$13="Alta",'Mapa final'!$AA$13="Catastrófico"),CONCATENATE("R4C",'Mapa final'!$O$13),"")</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50"/>
      <c r="AP19" s="351"/>
      <c r="AQ19" s="351"/>
      <c r="AR19" s="351"/>
      <c r="AS19" s="351"/>
      <c r="AT19" s="3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35">
      <c r="A20" s="83"/>
      <c r="B20" s="299"/>
      <c r="C20" s="299"/>
      <c r="D20" s="300"/>
      <c r="E20" s="340"/>
      <c r="F20" s="341"/>
      <c r="G20" s="341"/>
      <c r="H20" s="341"/>
      <c r="I20" s="341"/>
      <c r="J20" s="67" t="str">
        <f>IF(AND('Mapa final'!$Y$14="Alta",'Mapa final'!$AA$14="Leve"),CONCATENATE("R5C",'Mapa final'!$O$14),"")</f>
        <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str">
        <f>IF(AND('Mapa final'!$Y$14="Alta",'Mapa final'!$AA$14="Menor"),CONCATENATE("R5C",'Mapa final'!$O$14),"")</f>
        <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str">
        <f>IF(AND('Mapa final'!$Y$14="Alta",'Mapa final'!$AA$14="Moderado"),CONCATENATE("R5C",'Mapa final'!$O$14),"")</f>
        <v>R5C1</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str">
        <f>IF(AND('Mapa final'!$Y$14="Alta",'Mapa final'!$AA$14="Mayor"),CONCATENATE("R5C",'Mapa final'!$O$14),"")</f>
        <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str">
        <f>IF(AND('Mapa final'!$Y$14="Alta",'Mapa final'!$AA$14="Catastrófico"),CONCATENATE("R5C",'Mapa final'!$O$14),"")</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50"/>
      <c r="AP20" s="351"/>
      <c r="AQ20" s="351"/>
      <c r="AR20" s="351"/>
      <c r="AS20" s="351"/>
      <c r="AT20" s="3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35">
      <c r="A21" s="83"/>
      <c r="B21" s="299"/>
      <c r="C21" s="299"/>
      <c r="D21" s="300"/>
      <c r="E21" s="340"/>
      <c r="F21" s="341"/>
      <c r="G21" s="341"/>
      <c r="H21" s="341"/>
      <c r="I21" s="341"/>
      <c r="J21" s="67" t="str">
        <f>IF(AND('Mapa final'!$Y$15="Alta",'Mapa final'!$AA$15="Leve"),CONCATENATE("R6C",'Mapa final'!$O$15),"")</f>
        <v/>
      </c>
      <c r="K21" s="68" t="e">
        <f>IF(AND('Mapa final'!#REF!="Alta",'Mapa final'!#REF!="Leve"),CONCATENATE("R6C",'Mapa final'!#REF!),"")</f>
        <v>#REF!</v>
      </c>
      <c r="L21" s="68" t="e">
        <f>IF(AND('Mapa final'!#REF!="Alta",'Mapa final'!#REF!="Leve"),CONCATENATE("R6C",'Mapa final'!#REF!),"")</f>
        <v>#REF!</v>
      </c>
      <c r="M21" s="68" t="e">
        <f>IF(AND('Mapa final'!#REF!="Alta",'Mapa final'!#REF!="Leve"),CONCATENATE("R6C",'Mapa final'!#REF!),"")</f>
        <v>#REF!</v>
      </c>
      <c r="N21" s="68" t="e">
        <f>IF(AND('Mapa final'!#REF!="Alta",'Mapa final'!#REF!="Leve"),CONCATENATE("R6C",'Mapa final'!#REF!),"")</f>
        <v>#REF!</v>
      </c>
      <c r="O21" s="69" t="e">
        <f>IF(AND('Mapa final'!#REF!="Alta",'Mapa final'!#REF!="Leve"),CONCATENATE("R6C",'Mapa final'!#REF!),"")</f>
        <v>#REF!</v>
      </c>
      <c r="P21" s="67" t="str">
        <f>IF(AND('Mapa final'!$Y$15="Alta",'Mapa final'!$AA$15="Menor"),CONCATENATE("R6C",'Mapa final'!$O$15),"")</f>
        <v/>
      </c>
      <c r="Q21" s="68" t="e">
        <f>IF(AND('Mapa final'!#REF!="Alta",'Mapa final'!#REF!="Menor"),CONCATENATE("R6C",'Mapa final'!#REF!),"")</f>
        <v>#REF!</v>
      </c>
      <c r="R21" s="68" t="e">
        <f>IF(AND('Mapa final'!#REF!="Alta",'Mapa final'!#REF!="Menor"),CONCATENATE("R6C",'Mapa final'!#REF!),"")</f>
        <v>#REF!</v>
      </c>
      <c r="S21" s="68" t="e">
        <f>IF(AND('Mapa final'!#REF!="Alta",'Mapa final'!#REF!="Menor"),CONCATENATE("R6C",'Mapa final'!#REF!),"")</f>
        <v>#REF!</v>
      </c>
      <c r="T21" s="68" t="e">
        <f>IF(AND('Mapa final'!#REF!="Alta",'Mapa final'!#REF!="Menor"),CONCATENATE("R6C",'Mapa final'!#REF!),"")</f>
        <v>#REF!</v>
      </c>
      <c r="U21" s="69" t="e">
        <f>IF(AND('Mapa final'!#REF!="Alta",'Mapa final'!#REF!="Menor"),CONCATENATE("R6C",'Mapa final'!#REF!),"")</f>
        <v>#REF!</v>
      </c>
      <c r="V21" s="52" t="str">
        <f>IF(AND('Mapa final'!$Y$15="Alta",'Mapa final'!$AA$15="Moderado"),CONCATENATE("R6C",'Mapa final'!$O$15),"")</f>
        <v/>
      </c>
      <c r="W21" s="53" t="e">
        <f>IF(AND('Mapa final'!#REF!="Alta",'Mapa final'!#REF!="Moderado"),CONCATENATE("R6C",'Mapa final'!#REF!),"")</f>
        <v>#REF!</v>
      </c>
      <c r="X21" s="53" t="e">
        <f>IF(AND('Mapa final'!#REF!="Alta",'Mapa final'!#REF!="Moderado"),CONCATENATE("R6C",'Mapa final'!#REF!),"")</f>
        <v>#REF!</v>
      </c>
      <c r="Y21" s="53" t="e">
        <f>IF(AND('Mapa final'!#REF!="Alta",'Mapa final'!#REF!="Moderado"),CONCATENATE("R6C",'Mapa final'!#REF!),"")</f>
        <v>#REF!</v>
      </c>
      <c r="Z21" s="53" t="e">
        <f>IF(AND('Mapa final'!#REF!="Alta",'Mapa final'!#REF!="Moderado"),CONCATENATE("R6C",'Mapa final'!#REF!),"")</f>
        <v>#REF!</v>
      </c>
      <c r="AA21" s="54" t="e">
        <f>IF(AND('Mapa final'!#REF!="Alta",'Mapa final'!#REF!="Moderado"),CONCATENATE("R6C",'Mapa final'!#REF!),"")</f>
        <v>#REF!</v>
      </c>
      <c r="AB21" s="52" t="str">
        <f>IF(AND('Mapa final'!$Y$15="Alta",'Mapa final'!$AA$15="Mayor"),CONCATENATE("R6C",'Mapa final'!$O$15),"")</f>
        <v/>
      </c>
      <c r="AC21" s="53" t="e">
        <f>IF(AND('Mapa final'!#REF!="Alta",'Mapa final'!#REF!="Mayor"),CONCATENATE("R6C",'Mapa final'!#REF!),"")</f>
        <v>#REF!</v>
      </c>
      <c r="AD21" s="53" t="e">
        <f>IF(AND('Mapa final'!#REF!="Alta",'Mapa final'!#REF!="Mayor"),CONCATENATE("R6C",'Mapa final'!#REF!),"")</f>
        <v>#REF!</v>
      </c>
      <c r="AE21" s="53" t="e">
        <f>IF(AND('Mapa final'!#REF!="Alta",'Mapa final'!#REF!="Mayor"),CONCATENATE("R6C",'Mapa final'!#REF!),"")</f>
        <v>#REF!</v>
      </c>
      <c r="AF21" s="53" t="e">
        <f>IF(AND('Mapa final'!#REF!="Alta",'Mapa final'!#REF!="Mayor"),CONCATENATE("R6C",'Mapa final'!#REF!),"")</f>
        <v>#REF!</v>
      </c>
      <c r="AG21" s="54" t="e">
        <f>IF(AND('Mapa final'!#REF!="Alta",'Mapa final'!#REF!="Mayor"),CONCATENATE("R6C",'Mapa final'!#REF!),"")</f>
        <v>#REF!</v>
      </c>
      <c r="AH21" s="55" t="str">
        <f>IF(AND('Mapa final'!$Y$15="Alta",'Mapa final'!$AA$15="Catastrófico"),CONCATENATE("R6C",'Mapa final'!$O$15),"")</f>
        <v/>
      </c>
      <c r="AI21" s="56" t="e">
        <f>IF(AND('Mapa final'!#REF!="Alta",'Mapa final'!#REF!="Catastrófico"),CONCATENATE("R6C",'Mapa final'!#REF!),"")</f>
        <v>#REF!</v>
      </c>
      <c r="AJ21" s="56" t="e">
        <f>IF(AND('Mapa final'!#REF!="Alta",'Mapa final'!#REF!="Catastrófico"),CONCATENATE("R6C",'Mapa final'!#REF!),"")</f>
        <v>#REF!</v>
      </c>
      <c r="AK21" s="56" t="e">
        <f>IF(AND('Mapa final'!#REF!="Alta",'Mapa final'!#REF!="Catastrófico"),CONCATENATE("R6C",'Mapa final'!#REF!),"")</f>
        <v>#REF!</v>
      </c>
      <c r="AL21" s="56" t="e">
        <f>IF(AND('Mapa final'!#REF!="Alta",'Mapa final'!#REF!="Catastrófico"),CONCATENATE("R6C",'Mapa final'!#REF!),"")</f>
        <v>#REF!</v>
      </c>
      <c r="AM21" s="57" t="e">
        <f>IF(AND('Mapa final'!#REF!="Alta",'Mapa final'!#REF!="Catastrófico"),CONCATENATE("R6C",'Mapa final'!#REF!),"")</f>
        <v>#REF!</v>
      </c>
      <c r="AN21" s="83"/>
      <c r="AO21" s="350"/>
      <c r="AP21" s="351"/>
      <c r="AQ21" s="351"/>
      <c r="AR21" s="351"/>
      <c r="AS21" s="351"/>
      <c r="AT21" s="35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35">
      <c r="A22" s="83"/>
      <c r="B22" s="299"/>
      <c r="C22" s="299"/>
      <c r="D22" s="300"/>
      <c r="E22" s="340"/>
      <c r="F22" s="341"/>
      <c r="G22" s="341"/>
      <c r="H22" s="341"/>
      <c r="I22" s="341"/>
      <c r="J22" s="67" t="str">
        <f>IF(AND('Mapa final'!$Y$16="Alta",'Mapa final'!$AA$16="Leve"),CONCATENATE("R7C",'Mapa final'!$O$16),"")</f>
        <v/>
      </c>
      <c r="K22" s="68" t="e">
        <f>IF(AND('Mapa final'!#REF!="Alta",'Mapa final'!#REF!="Leve"),CONCATENATE("R7C",'Mapa final'!#REF!),"")</f>
        <v>#REF!</v>
      </c>
      <c r="L22" s="68" t="e">
        <f>IF(AND('Mapa final'!#REF!="Alta",'Mapa final'!#REF!="Leve"),CONCATENATE("R7C",'Mapa final'!#REF!),"")</f>
        <v>#REF!</v>
      </c>
      <c r="M22" s="68" t="e">
        <f>IF(AND('Mapa final'!#REF!="Alta",'Mapa final'!#REF!="Leve"),CONCATENATE("R7C",'Mapa final'!#REF!),"")</f>
        <v>#REF!</v>
      </c>
      <c r="N22" s="68" t="e">
        <f>IF(AND('Mapa final'!#REF!="Alta",'Mapa final'!#REF!="Leve"),CONCATENATE("R7C",'Mapa final'!#REF!),"")</f>
        <v>#REF!</v>
      </c>
      <c r="O22" s="69" t="e">
        <f>IF(AND('Mapa final'!#REF!="Alta",'Mapa final'!#REF!="Leve"),CONCATENATE("R7C",'Mapa final'!#REF!),"")</f>
        <v>#REF!</v>
      </c>
      <c r="P22" s="67" t="str">
        <f>IF(AND('Mapa final'!$Y$16="Alta",'Mapa final'!$AA$16="Menor"),CONCATENATE("R7C",'Mapa final'!$O$16),"")</f>
        <v/>
      </c>
      <c r="Q22" s="68" t="e">
        <f>IF(AND('Mapa final'!#REF!="Alta",'Mapa final'!#REF!="Menor"),CONCATENATE("R7C",'Mapa final'!#REF!),"")</f>
        <v>#REF!</v>
      </c>
      <c r="R22" s="68" t="e">
        <f>IF(AND('Mapa final'!#REF!="Alta",'Mapa final'!#REF!="Menor"),CONCATENATE("R7C",'Mapa final'!#REF!),"")</f>
        <v>#REF!</v>
      </c>
      <c r="S22" s="68" t="e">
        <f>IF(AND('Mapa final'!#REF!="Alta",'Mapa final'!#REF!="Menor"),CONCATENATE("R7C",'Mapa final'!#REF!),"")</f>
        <v>#REF!</v>
      </c>
      <c r="T22" s="68" t="e">
        <f>IF(AND('Mapa final'!#REF!="Alta",'Mapa final'!#REF!="Menor"),CONCATENATE("R7C",'Mapa final'!#REF!),"")</f>
        <v>#REF!</v>
      </c>
      <c r="U22" s="69" t="e">
        <f>IF(AND('Mapa final'!#REF!="Alta",'Mapa final'!#REF!="Menor"),CONCATENATE("R7C",'Mapa final'!#REF!),"")</f>
        <v>#REF!</v>
      </c>
      <c r="V22" s="52" t="str">
        <f>IF(AND('Mapa final'!$Y$16="Alta",'Mapa final'!$AA$16="Moderado"),CONCATENATE("R7C",'Mapa final'!$O$16),"")</f>
        <v/>
      </c>
      <c r="W22" s="53" t="e">
        <f>IF(AND('Mapa final'!#REF!="Alta",'Mapa final'!#REF!="Moderado"),CONCATENATE("R7C",'Mapa final'!#REF!),"")</f>
        <v>#REF!</v>
      </c>
      <c r="X22" s="53" t="e">
        <f>IF(AND('Mapa final'!#REF!="Alta",'Mapa final'!#REF!="Moderado"),CONCATENATE("R7C",'Mapa final'!#REF!),"")</f>
        <v>#REF!</v>
      </c>
      <c r="Y22" s="53" t="e">
        <f>IF(AND('Mapa final'!#REF!="Alta",'Mapa final'!#REF!="Moderado"),CONCATENATE("R7C",'Mapa final'!#REF!),"")</f>
        <v>#REF!</v>
      </c>
      <c r="Z22" s="53" t="e">
        <f>IF(AND('Mapa final'!#REF!="Alta",'Mapa final'!#REF!="Moderado"),CONCATENATE("R7C",'Mapa final'!#REF!),"")</f>
        <v>#REF!</v>
      </c>
      <c r="AA22" s="54" t="e">
        <f>IF(AND('Mapa final'!#REF!="Alta",'Mapa final'!#REF!="Moderado"),CONCATENATE("R7C",'Mapa final'!#REF!),"")</f>
        <v>#REF!</v>
      </c>
      <c r="AB22" s="52" t="str">
        <f>IF(AND('Mapa final'!$Y$16="Alta",'Mapa final'!$AA$16="Mayor"),CONCATENATE("R7C",'Mapa final'!$O$16),"")</f>
        <v/>
      </c>
      <c r="AC22" s="53" t="e">
        <f>IF(AND('Mapa final'!#REF!="Alta",'Mapa final'!#REF!="Mayor"),CONCATENATE("R7C",'Mapa final'!#REF!),"")</f>
        <v>#REF!</v>
      </c>
      <c r="AD22" s="53" t="e">
        <f>IF(AND('Mapa final'!#REF!="Alta",'Mapa final'!#REF!="Mayor"),CONCATENATE("R7C",'Mapa final'!#REF!),"")</f>
        <v>#REF!</v>
      </c>
      <c r="AE22" s="53" t="e">
        <f>IF(AND('Mapa final'!#REF!="Alta",'Mapa final'!#REF!="Mayor"),CONCATENATE("R7C",'Mapa final'!#REF!),"")</f>
        <v>#REF!</v>
      </c>
      <c r="AF22" s="53" t="e">
        <f>IF(AND('Mapa final'!#REF!="Alta",'Mapa final'!#REF!="Mayor"),CONCATENATE("R7C",'Mapa final'!#REF!),"")</f>
        <v>#REF!</v>
      </c>
      <c r="AG22" s="54" t="e">
        <f>IF(AND('Mapa final'!#REF!="Alta",'Mapa final'!#REF!="Mayor"),CONCATENATE("R7C",'Mapa final'!#REF!),"")</f>
        <v>#REF!</v>
      </c>
      <c r="AH22" s="55" t="str">
        <f>IF(AND('Mapa final'!$Y$16="Alta",'Mapa final'!$AA$16="Catastrófico"),CONCATENATE("R7C",'Mapa final'!$O$16),"")</f>
        <v/>
      </c>
      <c r="AI22" s="56" t="e">
        <f>IF(AND('Mapa final'!#REF!="Alta",'Mapa final'!#REF!="Catastrófico"),CONCATENATE("R7C",'Mapa final'!#REF!),"")</f>
        <v>#REF!</v>
      </c>
      <c r="AJ22" s="56" t="e">
        <f>IF(AND('Mapa final'!#REF!="Alta",'Mapa final'!#REF!="Catastrófico"),CONCATENATE("R7C",'Mapa final'!#REF!),"")</f>
        <v>#REF!</v>
      </c>
      <c r="AK22" s="56" t="e">
        <f>IF(AND('Mapa final'!#REF!="Alta",'Mapa final'!#REF!="Catastrófico"),CONCATENATE("R7C",'Mapa final'!#REF!),"")</f>
        <v>#REF!</v>
      </c>
      <c r="AL22" s="56" t="e">
        <f>IF(AND('Mapa final'!#REF!="Alta",'Mapa final'!#REF!="Catastrófico"),CONCATENATE("R7C",'Mapa final'!#REF!),"")</f>
        <v>#REF!</v>
      </c>
      <c r="AM22" s="57" t="e">
        <f>IF(AND('Mapa final'!#REF!="Alta",'Mapa final'!#REF!="Catastrófico"),CONCATENATE("R7C",'Mapa final'!#REF!),"")</f>
        <v>#REF!</v>
      </c>
      <c r="AN22" s="83"/>
      <c r="AO22" s="350"/>
      <c r="AP22" s="351"/>
      <c r="AQ22" s="351"/>
      <c r="AR22" s="351"/>
      <c r="AS22" s="351"/>
      <c r="AT22" s="35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35">
      <c r="A23" s="83"/>
      <c r="B23" s="299"/>
      <c r="C23" s="299"/>
      <c r="D23" s="300"/>
      <c r="E23" s="340"/>
      <c r="F23" s="341"/>
      <c r="G23" s="341"/>
      <c r="H23" s="341"/>
      <c r="I23" s="341"/>
      <c r="J23" s="67" t="str">
        <f>IF(AND('Mapa final'!$Y$17="Alta",'Mapa final'!$AA$17="Leve"),CONCATENATE("R8C",'Mapa final'!$O$17),"")</f>
        <v/>
      </c>
      <c r="K23" s="68" t="str">
        <f>IF(AND('Mapa final'!$Y$18="Alta",'Mapa final'!$AA$18="Leve"),CONCATENATE("R8C",'Mapa final'!$O$18),"")</f>
        <v/>
      </c>
      <c r="L23" s="68" t="str">
        <f>IF(AND('Mapa final'!$Y$19="Alta",'Mapa final'!$AA$19="Leve"),CONCATENATE("R8C",'Mapa final'!$O$19),"")</f>
        <v/>
      </c>
      <c r="M23" s="68" t="str">
        <f>IF(AND('Mapa final'!$Y$20="Alta",'Mapa final'!$AA$20="Leve"),CONCATENATE("R8C",'Mapa final'!$O$20),"")</f>
        <v/>
      </c>
      <c r="N23" s="68" t="str">
        <f>IF(AND('Mapa final'!$Y$21="Alta",'Mapa final'!$AA$21="Leve"),CONCATENATE("R8C",'Mapa final'!$O$21),"")</f>
        <v/>
      </c>
      <c r="O23" s="69" t="str">
        <f>IF(AND('Mapa final'!$Y$22="Alta",'Mapa final'!$AA$22="Leve"),CONCATENATE("R8C",'Mapa final'!$O$22),"")</f>
        <v/>
      </c>
      <c r="P23" s="67" t="str">
        <f>IF(AND('Mapa final'!$Y$17="Alta",'Mapa final'!$AA$17="Menor"),CONCATENATE("R8C",'Mapa final'!$O$17),"")</f>
        <v/>
      </c>
      <c r="Q23" s="68" t="str">
        <f>IF(AND('Mapa final'!$Y$18="Alta",'Mapa final'!$AA$18="Menor"),CONCATENATE("R8C",'Mapa final'!$O$18),"")</f>
        <v/>
      </c>
      <c r="R23" s="68" t="str">
        <f>IF(AND('Mapa final'!$Y$19="Alta",'Mapa final'!$AA$19="Menor"),CONCATENATE("R8C",'Mapa final'!$O$19),"")</f>
        <v/>
      </c>
      <c r="S23" s="68" t="str">
        <f>IF(AND('Mapa final'!$Y$20="Alta",'Mapa final'!$AA$20="Menor"),CONCATENATE("R8C",'Mapa final'!$O$20),"")</f>
        <v/>
      </c>
      <c r="T23" s="68" t="str">
        <f>IF(AND('Mapa final'!$Y$21="Alta",'Mapa final'!$AA$21="Menor"),CONCATENATE("R8C",'Mapa final'!$O$21),"")</f>
        <v/>
      </c>
      <c r="U23" s="69" t="str">
        <f>IF(AND('Mapa final'!$Y$22="Alta",'Mapa final'!$AA$22="Menor"),CONCATENATE("R8C",'Mapa final'!$O$22),"")</f>
        <v/>
      </c>
      <c r="V23" s="52" t="str">
        <f>IF(AND('Mapa final'!$Y$17="Alta",'Mapa final'!$AA$17="Moderado"),CONCATENATE("R8C",'Mapa final'!$O$17),"")</f>
        <v/>
      </c>
      <c r="W23" s="53" t="str">
        <f>IF(AND('Mapa final'!$Y$18="Alta",'Mapa final'!$AA$18="Moderado"),CONCATENATE("R8C",'Mapa final'!$O$18),"")</f>
        <v/>
      </c>
      <c r="X23" s="53" t="str">
        <f>IF(AND('Mapa final'!$Y$19="Alta",'Mapa final'!$AA$19="Moderado"),CONCATENATE("R8C",'Mapa final'!$O$19),"")</f>
        <v/>
      </c>
      <c r="Y23" s="53" t="str">
        <f>IF(AND('Mapa final'!$Y$20="Alta",'Mapa final'!$AA$20="Moderado"),CONCATENATE("R8C",'Mapa final'!$O$20),"")</f>
        <v/>
      </c>
      <c r="Z23" s="53" t="str">
        <f>IF(AND('Mapa final'!$Y$21="Alta",'Mapa final'!$AA$21="Moderado"),CONCATENATE("R8C",'Mapa final'!$O$21),"")</f>
        <v/>
      </c>
      <c r="AA23" s="54" t="str">
        <f>IF(AND('Mapa final'!$Y$22="Alta",'Mapa final'!$AA$22="Moderado"),CONCATENATE("R8C",'Mapa final'!$O$22),"")</f>
        <v/>
      </c>
      <c r="AB23" s="52" t="str">
        <f>IF(AND('Mapa final'!$Y$17="Alta",'Mapa final'!$AA$17="Mayor"),CONCATENATE("R8C",'Mapa final'!$O$17),"")</f>
        <v/>
      </c>
      <c r="AC23" s="53" t="str">
        <f>IF(AND('Mapa final'!$Y$18="Alta",'Mapa final'!$AA$18="Mayor"),CONCATENATE("R8C",'Mapa final'!$O$18),"")</f>
        <v/>
      </c>
      <c r="AD23" s="53" t="str">
        <f>IF(AND('Mapa final'!$Y$19="Alta",'Mapa final'!$AA$19="Mayor"),CONCATENATE("R8C",'Mapa final'!$O$19),"")</f>
        <v/>
      </c>
      <c r="AE23" s="53" t="str">
        <f>IF(AND('Mapa final'!$Y$20="Alta",'Mapa final'!$AA$20="Mayor"),CONCATENATE("R8C",'Mapa final'!$O$20),"")</f>
        <v/>
      </c>
      <c r="AF23" s="53" t="str">
        <f>IF(AND('Mapa final'!$Y$21="Alta",'Mapa final'!$AA$21="Mayor"),CONCATENATE("R8C",'Mapa final'!$O$21),"")</f>
        <v/>
      </c>
      <c r="AG23" s="54" t="str">
        <f>IF(AND('Mapa final'!$Y$22="Alta",'Mapa final'!$AA$22="Mayor"),CONCATENATE("R8C",'Mapa final'!$O$22),"")</f>
        <v/>
      </c>
      <c r="AH23" s="55" t="str">
        <f>IF(AND('Mapa final'!$Y$17="Alta",'Mapa final'!$AA$17="Catastrófico"),CONCATENATE("R8C",'Mapa final'!$O$17),"")</f>
        <v/>
      </c>
      <c r="AI23" s="56" t="str">
        <f>IF(AND('Mapa final'!$Y$18="Alta",'Mapa final'!$AA$18="Catastrófico"),CONCATENATE("R8C",'Mapa final'!$O$18),"")</f>
        <v/>
      </c>
      <c r="AJ23" s="56" t="str">
        <f>IF(AND('Mapa final'!$Y$19="Alta",'Mapa final'!$AA$19="Catastrófico"),CONCATENATE("R8C",'Mapa final'!$O$19),"")</f>
        <v/>
      </c>
      <c r="AK23" s="56" t="str">
        <f>IF(AND('Mapa final'!$Y$20="Alta",'Mapa final'!$AA$20="Catastrófico"),CONCATENATE("R8C",'Mapa final'!$O$20),"")</f>
        <v/>
      </c>
      <c r="AL23" s="56" t="str">
        <f>IF(AND('Mapa final'!$Y$21="Alta",'Mapa final'!$AA$21="Catastrófico"),CONCATENATE("R8C",'Mapa final'!$O$21),"")</f>
        <v/>
      </c>
      <c r="AM23" s="57" t="str">
        <f>IF(AND('Mapa final'!$Y$22="Alta",'Mapa final'!$AA$22="Catastrófico"),CONCATENATE("R8C",'Mapa final'!$O$22),"")</f>
        <v/>
      </c>
      <c r="AN23" s="83"/>
      <c r="AO23" s="350"/>
      <c r="AP23" s="351"/>
      <c r="AQ23" s="351"/>
      <c r="AR23" s="351"/>
      <c r="AS23" s="351"/>
      <c r="AT23" s="35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35">
      <c r="A24" s="83"/>
      <c r="B24" s="299"/>
      <c r="C24" s="299"/>
      <c r="D24" s="300"/>
      <c r="E24" s="340"/>
      <c r="F24" s="341"/>
      <c r="G24" s="341"/>
      <c r="H24" s="341"/>
      <c r="I24" s="341"/>
      <c r="J24" s="67" t="str">
        <f>IF(AND('Mapa final'!$Y$23="Alta",'Mapa final'!$AA$23="Leve"),CONCATENATE("R9C",'Mapa final'!$O$23),"")</f>
        <v/>
      </c>
      <c r="K24" s="68" t="str">
        <f>IF(AND('Mapa final'!$Y$24="Alta",'Mapa final'!$AA$24="Leve"),CONCATENATE("R9C",'Mapa final'!$O$24),"")</f>
        <v/>
      </c>
      <c r="L24" s="68" t="str">
        <f>IF(AND('Mapa final'!$Y$25="Alta",'Mapa final'!$AA$25="Leve"),CONCATENATE("R9C",'Mapa final'!$O$25),"")</f>
        <v/>
      </c>
      <c r="M24" s="68" t="str">
        <f>IF(AND('Mapa final'!$Y$26="Alta",'Mapa final'!$AA$26="Leve"),CONCATENATE("R9C",'Mapa final'!$O$26),"")</f>
        <v/>
      </c>
      <c r="N24" s="68" t="str">
        <f>IF(AND('Mapa final'!$Y$27="Alta",'Mapa final'!$AA$27="Leve"),CONCATENATE("R9C",'Mapa final'!$O$27),"")</f>
        <v/>
      </c>
      <c r="O24" s="69" t="str">
        <f>IF(AND('Mapa final'!$Y$28="Alta",'Mapa final'!$AA$28="Leve"),CONCATENATE("R9C",'Mapa final'!$O$28),"")</f>
        <v/>
      </c>
      <c r="P24" s="67" t="str">
        <f>IF(AND('Mapa final'!$Y$23="Alta",'Mapa final'!$AA$23="Menor"),CONCATENATE("R9C",'Mapa final'!$O$23),"")</f>
        <v/>
      </c>
      <c r="Q24" s="68" t="str">
        <f>IF(AND('Mapa final'!$Y$24="Alta",'Mapa final'!$AA$24="Menor"),CONCATENATE("R9C",'Mapa final'!$O$24),"")</f>
        <v/>
      </c>
      <c r="R24" s="68" t="str">
        <f>IF(AND('Mapa final'!$Y$25="Alta",'Mapa final'!$AA$25="Menor"),CONCATENATE("R9C",'Mapa final'!$O$25),"")</f>
        <v/>
      </c>
      <c r="S24" s="68" t="str">
        <f>IF(AND('Mapa final'!$Y$26="Alta",'Mapa final'!$AA$26="Menor"),CONCATENATE("R9C",'Mapa final'!$O$26),"")</f>
        <v/>
      </c>
      <c r="T24" s="68" t="str">
        <f>IF(AND('Mapa final'!$Y$27="Alta",'Mapa final'!$AA$27="Menor"),CONCATENATE("R9C",'Mapa final'!$O$27),"")</f>
        <v/>
      </c>
      <c r="U24" s="69" t="str">
        <f>IF(AND('Mapa final'!$Y$28="Alta",'Mapa final'!$AA$28="Menor"),CONCATENATE("R9C",'Mapa final'!$O$28),"")</f>
        <v/>
      </c>
      <c r="V24" s="52" t="str">
        <f>IF(AND('Mapa final'!$Y$23="Alta",'Mapa final'!$AA$23="Moderado"),CONCATENATE("R9C",'Mapa final'!$O$23),"")</f>
        <v/>
      </c>
      <c r="W24" s="53" t="str">
        <f>IF(AND('Mapa final'!$Y$24="Alta",'Mapa final'!$AA$24="Moderado"),CONCATENATE("R9C",'Mapa final'!$O$24),"")</f>
        <v/>
      </c>
      <c r="X24" s="53" t="str">
        <f>IF(AND('Mapa final'!$Y$25="Alta",'Mapa final'!$AA$25="Moderado"),CONCATENATE("R9C",'Mapa final'!$O$25),"")</f>
        <v/>
      </c>
      <c r="Y24" s="53" t="str">
        <f>IF(AND('Mapa final'!$Y$26="Alta",'Mapa final'!$AA$26="Moderado"),CONCATENATE("R9C",'Mapa final'!$O$26),"")</f>
        <v/>
      </c>
      <c r="Z24" s="53" t="str">
        <f>IF(AND('Mapa final'!$Y$27="Alta",'Mapa final'!$AA$27="Moderado"),CONCATENATE("R9C",'Mapa final'!$O$27),"")</f>
        <v/>
      </c>
      <c r="AA24" s="54" t="str">
        <f>IF(AND('Mapa final'!$Y$28="Alta",'Mapa final'!$AA$28="Moderado"),CONCATENATE("R9C",'Mapa final'!$O$28),"")</f>
        <v/>
      </c>
      <c r="AB24" s="52" t="str">
        <f>IF(AND('Mapa final'!$Y$23="Alta",'Mapa final'!$AA$23="Mayor"),CONCATENATE("R9C",'Mapa final'!$O$23),"")</f>
        <v/>
      </c>
      <c r="AC24" s="53" t="str">
        <f>IF(AND('Mapa final'!$Y$24="Alta",'Mapa final'!$AA$24="Mayor"),CONCATENATE("R9C",'Mapa final'!$O$24),"")</f>
        <v/>
      </c>
      <c r="AD24" s="53" t="str">
        <f>IF(AND('Mapa final'!$Y$25="Alta",'Mapa final'!$AA$25="Mayor"),CONCATENATE("R9C",'Mapa final'!$O$25),"")</f>
        <v/>
      </c>
      <c r="AE24" s="53" t="str">
        <f>IF(AND('Mapa final'!$Y$26="Alta",'Mapa final'!$AA$26="Mayor"),CONCATENATE("R9C",'Mapa final'!$O$26),"")</f>
        <v/>
      </c>
      <c r="AF24" s="53" t="str">
        <f>IF(AND('Mapa final'!$Y$27="Alta",'Mapa final'!$AA$27="Mayor"),CONCATENATE("R9C",'Mapa final'!$O$27),"")</f>
        <v/>
      </c>
      <c r="AG24" s="54" t="str">
        <f>IF(AND('Mapa final'!$Y$28="Alta",'Mapa final'!$AA$28="Mayor"),CONCATENATE("R9C",'Mapa final'!$O$28),"")</f>
        <v/>
      </c>
      <c r="AH24" s="55" t="str">
        <f>IF(AND('Mapa final'!$Y$23="Alta",'Mapa final'!$AA$23="Catastrófico"),CONCATENATE("R9C",'Mapa final'!$O$23),"")</f>
        <v/>
      </c>
      <c r="AI24" s="56" t="str">
        <f>IF(AND('Mapa final'!$Y$24="Alta",'Mapa final'!$AA$24="Catastrófico"),CONCATENATE("R9C",'Mapa final'!$O$24),"")</f>
        <v/>
      </c>
      <c r="AJ24" s="56" t="str">
        <f>IF(AND('Mapa final'!$Y$25="Alta",'Mapa final'!$AA$25="Catastrófico"),CONCATENATE("R9C",'Mapa final'!$O$25),"")</f>
        <v/>
      </c>
      <c r="AK24" s="56" t="str">
        <f>IF(AND('Mapa final'!$Y$26="Alta",'Mapa final'!$AA$26="Catastrófico"),CONCATENATE("R9C",'Mapa final'!$O$26),"")</f>
        <v/>
      </c>
      <c r="AL24" s="56" t="str">
        <f>IF(AND('Mapa final'!$Y$27="Alta",'Mapa final'!$AA$27="Catastrófico"),CONCATENATE("R9C",'Mapa final'!$O$27),"")</f>
        <v/>
      </c>
      <c r="AM24" s="57" t="str">
        <f>IF(AND('Mapa final'!$Y$28="Alta",'Mapa final'!$AA$28="Catastrófico"),CONCATENATE("R9C",'Mapa final'!$O$28),"")</f>
        <v/>
      </c>
      <c r="AN24" s="83"/>
      <c r="AO24" s="350"/>
      <c r="AP24" s="351"/>
      <c r="AQ24" s="351"/>
      <c r="AR24" s="351"/>
      <c r="AS24" s="351"/>
      <c r="AT24" s="35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4">
      <c r="A25" s="83"/>
      <c r="B25" s="299"/>
      <c r="C25" s="299"/>
      <c r="D25" s="300"/>
      <c r="E25" s="343"/>
      <c r="F25" s="344"/>
      <c r="G25" s="344"/>
      <c r="H25" s="344"/>
      <c r="I25" s="344"/>
      <c r="J25" s="70" t="str">
        <f>IF(AND('Mapa final'!$Y$29="Alta",'Mapa final'!$AA$29="Leve"),CONCATENATE("R10C",'Mapa final'!$O$29),"")</f>
        <v/>
      </c>
      <c r="K25" s="71" t="str">
        <f>IF(AND('Mapa final'!$Y$30="Alta",'Mapa final'!$AA$30="Leve"),CONCATENATE("R10C",'Mapa final'!$O$30),"")</f>
        <v/>
      </c>
      <c r="L25" s="71" t="str">
        <f>IF(AND('Mapa final'!$Y$31="Alta",'Mapa final'!$AA$31="Leve"),CONCATENATE("R10C",'Mapa final'!$O$31),"")</f>
        <v/>
      </c>
      <c r="M25" s="71" t="str">
        <f>IF(AND('Mapa final'!$Y$32="Alta",'Mapa final'!$AA$32="Leve"),CONCATENATE("R10C",'Mapa final'!$O$32),"")</f>
        <v/>
      </c>
      <c r="N25" s="71" t="str">
        <f>IF(AND('Mapa final'!$Y$33="Alta",'Mapa final'!$AA$33="Leve"),CONCATENATE("R10C",'Mapa final'!$O$33),"")</f>
        <v/>
      </c>
      <c r="O25" s="72" t="str">
        <f>IF(AND('Mapa final'!$Y$34="Alta",'Mapa final'!$AA$34="Leve"),CONCATENATE("R10C",'Mapa final'!$O$34),"")</f>
        <v/>
      </c>
      <c r="P25" s="70" t="str">
        <f>IF(AND('Mapa final'!$Y$29="Alta",'Mapa final'!$AA$29="Menor"),CONCATENATE("R10C",'Mapa final'!$O$29),"")</f>
        <v/>
      </c>
      <c r="Q25" s="71" t="str">
        <f>IF(AND('Mapa final'!$Y$30="Alta",'Mapa final'!$AA$30="Menor"),CONCATENATE("R10C",'Mapa final'!$O$30),"")</f>
        <v/>
      </c>
      <c r="R25" s="71" t="str">
        <f>IF(AND('Mapa final'!$Y$31="Alta",'Mapa final'!$AA$31="Menor"),CONCATENATE("R10C",'Mapa final'!$O$31),"")</f>
        <v/>
      </c>
      <c r="S25" s="71" t="str">
        <f>IF(AND('Mapa final'!$Y$32="Alta",'Mapa final'!$AA$32="Menor"),CONCATENATE("R10C",'Mapa final'!$O$32),"")</f>
        <v/>
      </c>
      <c r="T25" s="71" t="str">
        <f>IF(AND('Mapa final'!$Y$33="Alta",'Mapa final'!$AA$33="Menor"),CONCATENATE("R10C",'Mapa final'!$O$33),"")</f>
        <v/>
      </c>
      <c r="U25" s="72" t="str">
        <f>IF(AND('Mapa final'!$Y$34="Alta",'Mapa final'!$AA$34="Menor"),CONCATENATE("R10C",'Mapa final'!$O$34),"")</f>
        <v/>
      </c>
      <c r="V25" s="58" t="str">
        <f>IF(AND('Mapa final'!$Y$29="Alta",'Mapa final'!$AA$29="Moderado"),CONCATENATE("R10C",'Mapa final'!$O$29),"")</f>
        <v/>
      </c>
      <c r="W25" s="59" t="str">
        <f>IF(AND('Mapa final'!$Y$30="Alta",'Mapa final'!$AA$30="Moderado"),CONCATENATE("R10C",'Mapa final'!$O$30),"")</f>
        <v/>
      </c>
      <c r="X25" s="59" t="str">
        <f>IF(AND('Mapa final'!$Y$31="Alta",'Mapa final'!$AA$31="Moderado"),CONCATENATE("R10C",'Mapa final'!$O$31),"")</f>
        <v/>
      </c>
      <c r="Y25" s="59" t="str">
        <f>IF(AND('Mapa final'!$Y$32="Alta",'Mapa final'!$AA$32="Moderado"),CONCATENATE("R10C",'Mapa final'!$O$32),"")</f>
        <v/>
      </c>
      <c r="Z25" s="59" t="str">
        <f>IF(AND('Mapa final'!$Y$33="Alta",'Mapa final'!$AA$33="Moderado"),CONCATENATE("R10C",'Mapa final'!$O$33),"")</f>
        <v/>
      </c>
      <c r="AA25" s="60" t="str">
        <f>IF(AND('Mapa final'!$Y$34="Alta",'Mapa final'!$AA$34="Moderado"),CONCATENATE("R10C",'Mapa final'!$O$34),"")</f>
        <v/>
      </c>
      <c r="AB25" s="58" t="str">
        <f>IF(AND('Mapa final'!$Y$29="Alta",'Mapa final'!$AA$29="Mayor"),CONCATENATE("R10C",'Mapa final'!$O$29),"")</f>
        <v/>
      </c>
      <c r="AC25" s="59" t="str">
        <f>IF(AND('Mapa final'!$Y$30="Alta",'Mapa final'!$AA$30="Mayor"),CONCATENATE("R10C",'Mapa final'!$O$30),"")</f>
        <v/>
      </c>
      <c r="AD25" s="59" t="str">
        <f>IF(AND('Mapa final'!$Y$31="Alta",'Mapa final'!$AA$31="Mayor"),CONCATENATE("R10C",'Mapa final'!$O$31),"")</f>
        <v/>
      </c>
      <c r="AE25" s="59" t="str">
        <f>IF(AND('Mapa final'!$Y$32="Alta",'Mapa final'!$AA$32="Mayor"),CONCATENATE("R10C",'Mapa final'!$O$32),"")</f>
        <v/>
      </c>
      <c r="AF25" s="59" t="str">
        <f>IF(AND('Mapa final'!$Y$33="Alta",'Mapa final'!$AA$33="Mayor"),CONCATENATE("R10C",'Mapa final'!$O$33),"")</f>
        <v/>
      </c>
      <c r="AG25" s="60" t="str">
        <f>IF(AND('Mapa final'!$Y$34="Alta",'Mapa final'!$AA$34="Mayor"),CONCATENATE("R10C",'Mapa final'!$O$34),"")</f>
        <v/>
      </c>
      <c r="AH25" s="61" t="str">
        <f>IF(AND('Mapa final'!$Y$29="Alta",'Mapa final'!$AA$29="Catastrófico"),CONCATENATE("R10C",'Mapa final'!$O$29),"")</f>
        <v/>
      </c>
      <c r="AI25" s="62" t="str">
        <f>IF(AND('Mapa final'!$Y$30="Alta",'Mapa final'!$AA$30="Catastrófico"),CONCATENATE("R10C",'Mapa final'!$O$30),"")</f>
        <v/>
      </c>
      <c r="AJ25" s="62" t="str">
        <f>IF(AND('Mapa final'!$Y$31="Alta",'Mapa final'!$AA$31="Catastrófico"),CONCATENATE("R10C",'Mapa final'!$O$31),"")</f>
        <v/>
      </c>
      <c r="AK25" s="62" t="str">
        <f>IF(AND('Mapa final'!$Y$32="Alta",'Mapa final'!$AA$32="Catastrófico"),CONCATENATE("R10C",'Mapa final'!$O$32),"")</f>
        <v/>
      </c>
      <c r="AL25" s="62" t="str">
        <f>IF(AND('Mapa final'!$Y$33="Alta",'Mapa final'!$AA$33="Catastrófico"),CONCATENATE("R10C",'Mapa final'!$O$33),"")</f>
        <v/>
      </c>
      <c r="AM25" s="63" t="str">
        <f>IF(AND('Mapa final'!$Y$34="Alta",'Mapa final'!$AA$34="Catastrófico"),CONCATENATE("R10C",'Mapa final'!$O$34),"")</f>
        <v/>
      </c>
      <c r="AN25" s="83"/>
      <c r="AO25" s="353"/>
      <c r="AP25" s="354"/>
      <c r="AQ25" s="354"/>
      <c r="AR25" s="354"/>
      <c r="AS25" s="354"/>
      <c r="AT25" s="35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35">
      <c r="A26" s="83"/>
      <c r="B26" s="299"/>
      <c r="C26" s="299"/>
      <c r="D26" s="300"/>
      <c r="E26" s="337" t="s">
        <v>117</v>
      </c>
      <c r="F26" s="338"/>
      <c r="G26" s="338"/>
      <c r="H26" s="338"/>
      <c r="I26" s="339"/>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R1C1</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7" t="s">
        <v>81</v>
      </c>
      <c r="AP26" s="378"/>
      <c r="AQ26" s="378"/>
      <c r="AR26" s="378"/>
      <c r="AS26" s="378"/>
      <c r="AT26" s="37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35">
      <c r="A27" s="83"/>
      <c r="B27" s="299"/>
      <c r="C27" s="299"/>
      <c r="D27" s="300"/>
      <c r="E27" s="356"/>
      <c r="F27" s="341"/>
      <c r="G27" s="341"/>
      <c r="H27" s="341"/>
      <c r="I27" s="342"/>
      <c r="J27" s="67" t="str">
        <f>IF(AND('Mapa final'!$Y$11="Media",'Mapa final'!$AA$11="Leve"),CONCATENATE("R2C",'Mapa final'!$O$11),"")</f>
        <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final'!$Y$11="Media",'Mapa final'!$AA$11="Menor"),CONCATENATE("R2C",'Mapa final'!$O$11),"")</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final'!$Y$11="Media",'Mapa final'!$AA$11="Moderado"),CONCATENATE("R2C",'Mapa final'!$O$11),"")</f>
        <v>R2C1</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final'!$Y$11="Media",'Mapa final'!$AA$11="Mayor"),CONCATENATE("R2C",'Mapa final'!$O$11),"")</f>
        <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80"/>
      <c r="AP27" s="381"/>
      <c r="AQ27" s="381"/>
      <c r="AR27" s="381"/>
      <c r="AS27" s="381"/>
      <c r="AT27" s="38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35">
      <c r="A28" s="83"/>
      <c r="B28" s="299"/>
      <c r="C28" s="299"/>
      <c r="D28" s="300"/>
      <c r="E28" s="340"/>
      <c r="F28" s="341"/>
      <c r="G28" s="341"/>
      <c r="H28" s="341"/>
      <c r="I28" s="342"/>
      <c r="J28" s="67" t="str">
        <f>IF(AND('Mapa final'!$Y$12="Media",'Mapa final'!$AA$12="Leve"),CONCATENATE("R3C",'Mapa final'!$O$12),"")</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final'!$Y$12="Media",'Mapa final'!$AA$12="Menor"),CONCATENATE("R3C",'Mapa final'!$O$12),"")</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final'!$Y$12="Media",'Mapa final'!$AA$12="Moderado"),CONCATENATE("R3C",'Mapa final'!$O$12),"")</f>
        <v>R3C1</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80"/>
      <c r="AP28" s="381"/>
      <c r="AQ28" s="381"/>
      <c r="AR28" s="381"/>
      <c r="AS28" s="381"/>
      <c r="AT28" s="38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35">
      <c r="A29" s="83"/>
      <c r="B29" s="299"/>
      <c r="C29" s="299"/>
      <c r="D29" s="300"/>
      <c r="E29" s="340"/>
      <c r="F29" s="341"/>
      <c r="G29" s="341"/>
      <c r="H29" s="341"/>
      <c r="I29" s="342"/>
      <c r="J29" s="67" t="str">
        <f>IF(AND('Mapa final'!$Y$13="Media",'Mapa final'!$AA$13="Leve"),CONCATENATE("R4C",'Mapa final'!$O$13),"")</f>
        <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str">
        <f>IF(AND('Mapa final'!$Y$13="Media",'Mapa final'!$AA$13="Menor"),CONCATENATE("R4C",'Mapa final'!$O$13),"")</f>
        <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str">
        <f>IF(AND('Mapa final'!$Y$13="Media",'Mapa final'!$AA$13="Moderado"),CONCATENATE("R4C",'Mapa final'!$O$13),"")</f>
        <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str">
        <f>IF(AND('Mapa final'!$Y$13="Media",'Mapa final'!$AA$13="Mayor"),CONCATENATE("R4C",'Mapa final'!$O$13),"")</f>
        <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str">
        <f>IF(AND('Mapa final'!$Y$13="Media",'Mapa final'!$AA$13="Catastrófico"),CONCATENATE("R4C",'Mapa final'!$O$13),"")</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80"/>
      <c r="AP29" s="381"/>
      <c r="AQ29" s="381"/>
      <c r="AR29" s="381"/>
      <c r="AS29" s="381"/>
      <c r="AT29" s="38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35">
      <c r="A30" s="83"/>
      <c r="B30" s="299"/>
      <c r="C30" s="299"/>
      <c r="D30" s="300"/>
      <c r="E30" s="340"/>
      <c r="F30" s="341"/>
      <c r="G30" s="341"/>
      <c r="H30" s="341"/>
      <c r="I30" s="342"/>
      <c r="J30" s="67" t="str">
        <f>IF(AND('Mapa final'!$Y$14="Media",'Mapa final'!$AA$14="Leve"),CONCATENATE("R5C",'Mapa final'!$O$14),"")</f>
        <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str">
        <f>IF(AND('Mapa final'!$Y$14="Media",'Mapa final'!$AA$14="Menor"),CONCATENATE("R5C",'Mapa final'!$O$14),"")</f>
        <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str">
        <f>IF(AND('Mapa final'!$Y$14="Media",'Mapa final'!$AA$14="Moderado"),CONCATENATE("R5C",'Mapa final'!$O$14),"")</f>
        <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str">
        <f>IF(AND('Mapa final'!$Y$14="Media",'Mapa final'!$AA$14="Mayor"),CONCATENATE("R5C",'Mapa final'!$O$14),"")</f>
        <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str">
        <f>IF(AND('Mapa final'!$Y$14="Media",'Mapa final'!$AA$14="Catastrófico"),CONCATENATE("R5C",'Mapa final'!$O$14),"")</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380"/>
      <c r="AP30" s="381"/>
      <c r="AQ30" s="381"/>
      <c r="AR30" s="381"/>
      <c r="AS30" s="381"/>
      <c r="AT30" s="38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35">
      <c r="A31" s="83"/>
      <c r="B31" s="299"/>
      <c r="C31" s="299"/>
      <c r="D31" s="300"/>
      <c r="E31" s="340"/>
      <c r="F31" s="341"/>
      <c r="G31" s="341"/>
      <c r="H31" s="341"/>
      <c r="I31" s="342"/>
      <c r="J31" s="67" t="str">
        <f>IF(AND('Mapa final'!$Y$15="Media",'Mapa final'!$AA$15="Leve"),CONCATENATE("R6C",'Mapa final'!$O$15),"")</f>
        <v/>
      </c>
      <c r="K31" s="68" t="e">
        <f>IF(AND('Mapa final'!#REF!="Media",'Mapa final'!#REF!="Leve"),CONCATENATE("R6C",'Mapa final'!#REF!),"")</f>
        <v>#REF!</v>
      </c>
      <c r="L31" s="68" t="e">
        <f>IF(AND('Mapa final'!#REF!="Media",'Mapa final'!#REF!="Leve"),CONCATENATE("R6C",'Mapa final'!#REF!),"")</f>
        <v>#REF!</v>
      </c>
      <c r="M31" s="68" t="e">
        <f>IF(AND('Mapa final'!#REF!="Media",'Mapa final'!#REF!="Leve"),CONCATENATE("R6C",'Mapa final'!#REF!),"")</f>
        <v>#REF!</v>
      </c>
      <c r="N31" s="68" t="e">
        <f>IF(AND('Mapa final'!#REF!="Media",'Mapa final'!#REF!="Leve"),CONCATENATE("R6C",'Mapa final'!#REF!),"")</f>
        <v>#REF!</v>
      </c>
      <c r="O31" s="69" t="e">
        <f>IF(AND('Mapa final'!#REF!="Media",'Mapa final'!#REF!="Leve"),CONCATENATE("R6C",'Mapa final'!#REF!),"")</f>
        <v>#REF!</v>
      </c>
      <c r="P31" s="67" t="str">
        <f>IF(AND('Mapa final'!$Y$15="Media",'Mapa final'!$AA$15="Menor"),CONCATENATE("R6C",'Mapa final'!$O$15),"")</f>
        <v/>
      </c>
      <c r="Q31" s="68" t="e">
        <f>IF(AND('Mapa final'!#REF!="Media",'Mapa final'!#REF!="Menor"),CONCATENATE("R6C",'Mapa final'!#REF!),"")</f>
        <v>#REF!</v>
      </c>
      <c r="R31" s="68" t="e">
        <f>IF(AND('Mapa final'!#REF!="Media",'Mapa final'!#REF!="Menor"),CONCATENATE("R6C",'Mapa final'!#REF!),"")</f>
        <v>#REF!</v>
      </c>
      <c r="S31" s="68" t="e">
        <f>IF(AND('Mapa final'!#REF!="Media",'Mapa final'!#REF!="Menor"),CONCATENATE("R6C",'Mapa final'!#REF!),"")</f>
        <v>#REF!</v>
      </c>
      <c r="T31" s="68" t="e">
        <f>IF(AND('Mapa final'!#REF!="Media",'Mapa final'!#REF!="Menor"),CONCATENATE("R6C",'Mapa final'!#REF!),"")</f>
        <v>#REF!</v>
      </c>
      <c r="U31" s="69" t="e">
        <f>IF(AND('Mapa final'!#REF!="Media",'Mapa final'!#REF!="Menor"),CONCATENATE("R6C",'Mapa final'!#REF!),"")</f>
        <v>#REF!</v>
      </c>
      <c r="V31" s="67" t="str">
        <f>IF(AND('Mapa final'!$Y$15="Media",'Mapa final'!$AA$15="Moderado"),CONCATENATE("R6C",'Mapa final'!$O$15),"")</f>
        <v/>
      </c>
      <c r="W31" s="68" t="e">
        <f>IF(AND('Mapa final'!#REF!="Media",'Mapa final'!#REF!="Moderado"),CONCATENATE("R6C",'Mapa final'!#REF!),"")</f>
        <v>#REF!</v>
      </c>
      <c r="X31" s="68" t="e">
        <f>IF(AND('Mapa final'!#REF!="Media",'Mapa final'!#REF!="Moderado"),CONCATENATE("R6C",'Mapa final'!#REF!),"")</f>
        <v>#REF!</v>
      </c>
      <c r="Y31" s="68" t="e">
        <f>IF(AND('Mapa final'!#REF!="Media",'Mapa final'!#REF!="Moderado"),CONCATENATE("R6C",'Mapa final'!#REF!),"")</f>
        <v>#REF!</v>
      </c>
      <c r="Z31" s="68" t="e">
        <f>IF(AND('Mapa final'!#REF!="Media",'Mapa final'!#REF!="Moderado"),CONCATENATE("R6C",'Mapa final'!#REF!),"")</f>
        <v>#REF!</v>
      </c>
      <c r="AA31" s="69" t="e">
        <f>IF(AND('Mapa final'!#REF!="Media",'Mapa final'!#REF!="Moderado"),CONCATENATE("R6C",'Mapa final'!#REF!),"")</f>
        <v>#REF!</v>
      </c>
      <c r="AB31" s="52" t="str">
        <f>IF(AND('Mapa final'!$Y$15="Media",'Mapa final'!$AA$15="Mayor"),CONCATENATE("R6C",'Mapa final'!$O$15),"")</f>
        <v/>
      </c>
      <c r="AC31" s="53" t="e">
        <f>IF(AND('Mapa final'!#REF!="Media",'Mapa final'!#REF!="Mayor"),CONCATENATE("R6C",'Mapa final'!#REF!),"")</f>
        <v>#REF!</v>
      </c>
      <c r="AD31" s="53" t="e">
        <f>IF(AND('Mapa final'!#REF!="Media",'Mapa final'!#REF!="Mayor"),CONCATENATE("R6C",'Mapa final'!#REF!),"")</f>
        <v>#REF!</v>
      </c>
      <c r="AE31" s="53" t="e">
        <f>IF(AND('Mapa final'!#REF!="Media",'Mapa final'!#REF!="Mayor"),CONCATENATE("R6C",'Mapa final'!#REF!),"")</f>
        <v>#REF!</v>
      </c>
      <c r="AF31" s="53" t="e">
        <f>IF(AND('Mapa final'!#REF!="Media",'Mapa final'!#REF!="Mayor"),CONCATENATE("R6C",'Mapa final'!#REF!),"")</f>
        <v>#REF!</v>
      </c>
      <c r="AG31" s="54" t="e">
        <f>IF(AND('Mapa final'!#REF!="Media",'Mapa final'!#REF!="Mayor"),CONCATENATE("R6C",'Mapa final'!#REF!),"")</f>
        <v>#REF!</v>
      </c>
      <c r="AH31" s="55" t="str">
        <f>IF(AND('Mapa final'!$Y$15="Media",'Mapa final'!$AA$15="Catastrófico"),CONCATENATE("R6C",'Mapa final'!$O$15),"")</f>
        <v/>
      </c>
      <c r="AI31" s="56" t="e">
        <f>IF(AND('Mapa final'!#REF!="Media",'Mapa final'!#REF!="Catastrófico"),CONCATENATE("R6C",'Mapa final'!#REF!),"")</f>
        <v>#REF!</v>
      </c>
      <c r="AJ31" s="56" t="e">
        <f>IF(AND('Mapa final'!#REF!="Media",'Mapa final'!#REF!="Catastrófico"),CONCATENATE("R6C",'Mapa final'!#REF!),"")</f>
        <v>#REF!</v>
      </c>
      <c r="AK31" s="56" t="e">
        <f>IF(AND('Mapa final'!#REF!="Media",'Mapa final'!#REF!="Catastrófico"),CONCATENATE("R6C",'Mapa final'!#REF!),"")</f>
        <v>#REF!</v>
      </c>
      <c r="AL31" s="56" t="e">
        <f>IF(AND('Mapa final'!#REF!="Media",'Mapa final'!#REF!="Catastrófico"),CONCATENATE("R6C",'Mapa final'!#REF!),"")</f>
        <v>#REF!</v>
      </c>
      <c r="AM31" s="57" t="e">
        <f>IF(AND('Mapa final'!#REF!="Media",'Mapa final'!#REF!="Catastrófico"),CONCATENATE("R6C",'Mapa final'!#REF!),"")</f>
        <v>#REF!</v>
      </c>
      <c r="AN31" s="83"/>
      <c r="AO31" s="380"/>
      <c r="AP31" s="381"/>
      <c r="AQ31" s="381"/>
      <c r="AR31" s="381"/>
      <c r="AS31" s="381"/>
      <c r="AT31" s="38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35">
      <c r="A32" s="83"/>
      <c r="B32" s="299"/>
      <c r="C32" s="299"/>
      <c r="D32" s="300"/>
      <c r="E32" s="340"/>
      <c r="F32" s="341"/>
      <c r="G32" s="341"/>
      <c r="H32" s="341"/>
      <c r="I32" s="342"/>
      <c r="J32" s="67" t="str">
        <f>IF(AND('Mapa final'!$Y$16="Media",'Mapa final'!$AA$16="Leve"),CONCATENATE("R7C",'Mapa final'!$O$16),"")</f>
        <v/>
      </c>
      <c r="K32" s="68" t="e">
        <f>IF(AND('Mapa final'!#REF!="Media",'Mapa final'!#REF!="Leve"),CONCATENATE("R7C",'Mapa final'!#REF!),"")</f>
        <v>#REF!</v>
      </c>
      <c r="L32" s="68" t="e">
        <f>IF(AND('Mapa final'!#REF!="Media",'Mapa final'!#REF!="Leve"),CONCATENATE("R7C",'Mapa final'!#REF!),"")</f>
        <v>#REF!</v>
      </c>
      <c r="M32" s="68" t="e">
        <f>IF(AND('Mapa final'!#REF!="Media",'Mapa final'!#REF!="Leve"),CONCATENATE("R7C",'Mapa final'!#REF!),"")</f>
        <v>#REF!</v>
      </c>
      <c r="N32" s="68" t="e">
        <f>IF(AND('Mapa final'!#REF!="Media",'Mapa final'!#REF!="Leve"),CONCATENATE("R7C",'Mapa final'!#REF!),"")</f>
        <v>#REF!</v>
      </c>
      <c r="O32" s="69" t="e">
        <f>IF(AND('Mapa final'!#REF!="Media",'Mapa final'!#REF!="Leve"),CONCATENATE("R7C",'Mapa final'!#REF!),"")</f>
        <v>#REF!</v>
      </c>
      <c r="P32" s="67" t="str">
        <f>IF(AND('Mapa final'!$Y$16="Media",'Mapa final'!$AA$16="Menor"),CONCATENATE("R7C",'Mapa final'!$O$16),"")</f>
        <v/>
      </c>
      <c r="Q32" s="68" t="e">
        <f>IF(AND('Mapa final'!#REF!="Media",'Mapa final'!#REF!="Menor"),CONCATENATE("R7C",'Mapa final'!#REF!),"")</f>
        <v>#REF!</v>
      </c>
      <c r="R32" s="68" t="e">
        <f>IF(AND('Mapa final'!#REF!="Media",'Mapa final'!#REF!="Menor"),CONCATENATE("R7C",'Mapa final'!#REF!),"")</f>
        <v>#REF!</v>
      </c>
      <c r="S32" s="68" t="e">
        <f>IF(AND('Mapa final'!#REF!="Media",'Mapa final'!#REF!="Menor"),CONCATENATE("R7C",'Mapa final'!#REF!),"")</f>
        <v>#REF!</v>
      </c>
      <c r="T32" s="68" t="e">
        <f>IF(AND('Mapa final'!#REF!="Media",'Mapa final'!#REF!="Menor"),CONCATENATE("R7C",'Mapa final'!#REF!),"")</f>
        <v>#REF!</v>
      </c>
      <c r="U32" s="69" t="e">
        <f>IF(AND('Mapa final'!#REF!="Media",'Mapa final'!#REF!="Menor"),CONCATENATE("R7C",'Mapa final'!#REF!),"")</f>
        <v>#REF!</v>
      </c>
      <c r="V32" s="67" t="str">
        <f>IF(AND('Mapa final'!$Y$16="Media",'Mapa final'!$AA$16="Moderado"),CONCATENATE("R7C",'Mapa final'!$O$16),"")</f>
        <v>R7C1</v>
      </c>
      <c r="W32" s="68" t="e">
        <f>IF(AND('Mapa final'!#REF!="Media",'Mapa final'!#REF!="Moderado"),CONCATENATE("R7C",'Mapa final'!#REF!),"")</f>
        <v>#REF!</v>
      </c>
      <c r="X32" s="68" t="e">
        <f>IF(AND('Mapa final'!#REF!="Media",'Mapa final'!#REF!="Moderado"),CONCATENATE("R7C",'Mapa final'!#REF!),"")</f>
        <v>#REF!</v>
      </c>
      <c r="Y32" s="68" t="e">
        <f>IF(AND('Mapa final'!#REF!="Media",'Mapa final'!#REF!="Moderado"),CONCATENATE("R7C",'Mapa final'!#REF!),"")</f>
        <v>#REF!</v>
      </c>
      <c r="Z32" s="68" t="e">
        <f>IF(AND('Mapa final'!#REF!="Media",'Mapa final'!#REF!="Moderado"),CONCATENATE("R7C",'Mapa final'!#REF!),"")</f>
        <v>#REF!</v>
      </c>
      <c r="AA32" s="69" t="e">
        <f>IF(AND('Mapa final'!#REF!="Media",'Mapa final'!#REF!="Moderado"),CONCATENATE("R7C",'Mapa final'!#REF!),"")</f>
        <v>#REF!</v>
      </c>
      <c r="AB32" s="52" t="str">
        <f>IF(AND('Mapa final'!$Y$16="Media",'Mapa final'!$AA$16="Mayor"),CONCATENATE("R7C",'Mapa final'!$O$16),"")</f>
        <v/>
      </c>
      <c r="AC32" s="53" t="e">
        <f>IF(AND('Mapa final'!#REF!="Media",'Mapa final'!#REF!="Mayor"),CONCATENATE("R7C",'Mapa final'!#REF!),"")</f>
        <v>#REF!</v>
      </c>
      <c r="AD32" s="53" t="e">
        <f>IF(AND('Mapa final'!#REF!="Media",'Mapa final'!#REF!="Mayor"),CONCATENATE("R7C",'Mapa final'!#REF!),"")</f>
        <v>#REF!</v>
      </c>
      <c r="AE32" s="53" t="e">
        <f>IF(AND('Mapa final'!#REF!="Media",'Mapa final'!#REF!="Mayor"),CONCATENATE("R7C",'Mapa final'!#REF!),"")</f>
        <v>#REF!</v>
      </c>
      <c r="AF32" s="53" t="e">
        <f>IF(AND('Mapa final'!#REF!="Media",'Mapa final'!#REF!="Mayor"),CONCATENATE("R7C",'Mapa final'!#REF!),"")</f>
        <v>#REF!</v>
      </c>
      <c r="AG32" s="54" t="e">
        <f>IF(AND('Mapa final'!#REF!="Media",'Mapa final'!#REF!="Mayor"),CONCATENATE("R7C",'Mapa final'!#REF!),"")</f>
        <v>#REF!</v>
      </c>
      <c r="AH32" s="55" t="str">
        <f>IF(AND('Mapa final'!$Y$16="Media",'Mapa final'!$AA$16="Catastrófico"),CONCATENATE("R7C",'Mapa final'!$O$16),"")</f>
        <v/>
      </c>
      <c r="AI32" s="56" t="e">
        <f>IF(AND('Mapa final'!#REF!="Media",'Mapa final'!#REF!="Catastrófico"),CONCATENATE("R7C",'Mapa final'!#REF!),"")</f>
        <v>#REF!</v>
      </c>
      <c r="AJ32" s="56" t="e">
        <f>IF(AND('Mapa final'!#REF!="Media",'Mapa final'!#REF!="Catastrófico"),CONCATENATE("R7C",'Mapa final'!#REF!),"")</f>
        <v>#REF!</v>
      </c>
      <c r="AK32" s="56" t="e">
        <f>IF(AND('Mapa final'!#REF!="Media",'Mapa final'!#REF!="Catastrófico"),CONCATENATE("R7C",'Mapa final'!#REF!),"")</f>
        <v>#REF!</v>
      </c>
      <c r="AL32" s="56" t="e">
        <f>IF(AND('Mapa final'!#REF!="Media",'Mapa final'!#REF!="Catastrófico"),CONCATENATE("R7C",'Mapa final'!#REF!),"")</f>
        <v>#REF!</v>
      </c>
      <c r="AM32" s="57" t="e">
        <f>IF(AND('Mapa final'!#REF!="Media",'Mapa final'!#REF!="Catastrófico"),CONCATENATE("R7C",'Mapa final'!#REF!),"")</f>
        <v>#REF!</v>
      </c>
      <c r="AN32" s="83"/>
      <c r="AO32" s="380"/>
      <c r="AP32" s="381"/>
      <c r="AQ32" s="381"/>
      <c r="AR32" s="381"/>
      <c r="AS32" s="381"/>
      <c r="AT32" s="38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35">
      <c r="A33" s="83"/>
      <c r="B33" s="299"/>
      <c r="C33" s="299"/>
      <c r="D33" s="300"/>
      <c r="E33" s="340"/>
      <c r="F33" s="341"/>
      <c r="G33" s="341"/>
      <c r="H33" s="341"/>
      <c r="I33" s="342"/>
      <c r="J33" s="67" t="str">
        <f>IF(AND('Mapa final'!$Y$17="Media",'Mapa final'!$AA$17="Leve"),CONCATENATE("R8C",'Mapa final'!$O$17),"")</f>
        <v/>
      </c>
      <c r="K33" s="68" t="str">
        <f>IF(AND('Mapa final'!$Y$18="Media",'Mapa final'!$AA$18="Leve"),CONCATENATE("R8C",'Mapa final'!$O$18),"")</f>
        <v/>
      </c>
      <c r="L33" s="68" t="str">
        <f>IF(AND('Mapa final'!$Y$19="Media",'Mapa final'!$AA$19="Leve"),CONCATENATE("R8C",'Mapa final'!$O$19),"")</f>
        <v/>
      </c>
      <c r="M33" s="68" t="str">
        <f>IF(AND('Mapa final'!$Y$20="Media",'Mapa final'!$AA$20="Leve"),CONCATENATE("R8C",'Mapa final'!$O$20),"")</f>
        <v/>
      </c>
      <c r="N33" s="68" t="str">
        <f>IF(AND('Mapa final'!$Y$21="Media",'Mapa final'!$AA$21="Leve"),CONCATENATE("R8C",'Mapa final'!$O$21),"")</f>
        <v/>
      </c>
      <c r="O33" s="69" t="str">
        <f>IF(AND('Mapa final'!$Y$22="Media",'Mapa final'!$AA$22="Leve"),CONCATENATE("R8C",'Mapa final'!$O$22),"")</f>
        <v/>
      </c>
      <c r="P33" s="67" t="str">
        <f>IF(AND('Mapa final'!$Y$17="Media",'Mapa final'!$AA$17="Menor"),CONCATENATE("R8C",'Mapa final'!$O$17),"")</f>
        <v/>
      </c>
      <c r="Q33" s="68" t="str">
        <f>IF(AND('Mapa final'!$Y$18="Media",'Mapa final'!$AA$18="Menor"),CONCATENATE("R8C",'Mapa final'!$O$18),"")</f>
        <v/>
      </c>
      <c r="R33" s="68" t="str">
        <f>IF(AND('Mapa final'!$Y$19="Media",'Mapa final'!$AA$19="Menor"),CONCATENATE("R8C",'Mapa final'!$O$19),"")</f>
        <v/>
      </c>
      <c r="S33" s="68" t="str">
        <f>IF(AND('Mapa final'!$Y$20="Media",'Mapa final'!$AA$20="Menor"),CONCATENATE("R8C",'Mapa final'!$O$20),"")</f>
        <v/>
      </c>
      <c r="T33" s="68" t="str">
        <f>IF(AND('Mapa final'!$Y$21="Media",'Mapa final'!$AA$21="Menor"),CONCATENATE("R8C",'Mapa final'!$O$21),"")</f>
        <v/>
      </c>
      <c r="U33" s="69" t="str">
        <f>IF(AND('Mapa final'!$Y$22="Media",'Mapa final'!$AA$22="Menor"),CONCATENATE("R8C",'Mapa final'!$O$22),"")</f>
        <v/>
      </c>
      <c r="V33" s="67" t="str">
        <f>IF(AND('Mapa final'!$Y$17="Media",'Mapa final'!$AA$17="Moderado"),CONCATENATE("R8C",'Mapa final'!$O$17),"")</f>
        <v/>
      </c>
      <c r="W33" s="68" t="str">
        <f>IF(AND('Mapa final'!$Y$18="Media",'Mapa final'!$AA$18="Moderado"),CONCATENATE("R8C",'Mapa final'!$O$18),"")</f>
        <v/>
      </c>
      <c r="X33" s="68" t="str">
        <f>IF(AND('Mapa final'!$Y$19="Media",'Mapa final'!$AA$19="Moderado"),CONCATENATE("R8C",'Mapa final'!$O$19),"")</f>
        <v/>
      </c>
      <c r="Y33" s="68" t="str">
        <f>IF(AND('Mapa final'!$Y$20="Media",'Mapa final'!$AA$20="Moderado"),CONCATENATE("R8C",'Mapa final'!$O$20),"")</f>
        <v/>
      </c>
      <c r="Z33" s="68" t="str">
        <f>IF(AND('Mapa final'!$Y$21="Media",'Mapa final'!$AA$21="Moderado"),CONCATENATE("R8C",'Mapa final'!$O$21),"")</f>
        <v/>
      </c>
      <c r="AA33" s="69" t="str">
        <f>IF(AND('Mapa final'!$Y$22="Media",'Mapa final'!$AA$22="Moderado"),CONCATENATE("R8C",'Mapa final'!$O$22),"")</f>
        <v/>
      </c>
      <c r="AB33" s="52" t="str">
        <f>IF(AND('Mapa final'!$Y$17="Media",'Mapa final'!$AA$17="Mayor"),CONCATENATE("R8C",'Mapa final'!$O$17),"")</f>
        <v/>
      </c>
      <c r="AC33" s="53" t="str">
        <f>IF(AND('Mapa final'!$Y$18="Media",'Mapa final'!$AA$18="Mayor"),CONCATENATE("R8C",'Mapa final'!$O$18),"")</f>
        <v/>
      </c>
      <c r="AD33" s="53" t="str">
        <f>IF(AND('Mapa final'!$Y$19="Media",'Mapa final'!$AA$19="Mayor"),CONCATENATE("R8C",'Mapa final'!$O$19),"")</f>
        <v/>
      </c>
      <c r="AE33" s="53" t="str">
        <f>IF(AND('Mapa final'!$Y$20="Media",'Mapa final'!$AA$20="Mayor"),CONCATENATE("R8C",'Mapa final'!$O$20),"")</f>
        <v/>
      </c>
      <c r="AF33" s="53" t="str">
        <f>IF(AND('Mapa final'!$Y$21="Media",'Mapa final'!$AA$21="Mayor"),CONCATENATE("R8C",'Mapa final'!$O$21),"")</f>
        <v/>
      </c>
      <c r="AG33" s="54" t="str">
        <f>IF(AND('Mapa final'!$Y$22="Media",'Mapa final'!$AA$22="Mayor"),CONCATENATE("R8C",'Mapa final'!$O$22),"")</f>
        <v/>
      </c>
      <c r="AH33" s="55" t="str">
        <f>IF(AND('Mapa final'!$Y$17="Media",'Mapa final'!$AA$17="Catastrófico"),CONCATENATE("R8C",'Mapa final'!$O$17),"")</f>
        <v/>
      </c>
      <c r="AI33" s="56" t="str">
        <f>IF(AND('Mapa final'!$Y$18="Media",'Mapa final'!$AA$18="Catastrófico"),CONCATENATE("R8C",'Mapa final'!$O$18),"")</f>
        <v/>
      </c>
      <c r="AJ33" s="56" t="str">
        <f>IF(AND('Mapa final'!$Y$19="Media",'Mapa final'!$AA$19="Catastrófico"),CONCATENATE("R8C",'Mapa final'!$O$19),"")</f>
        <v/>
      </c>
      <c r="AK33" s="56" t="str">
        <f>IF(AND('Mapa final'!$Y$20="Media",'Mapa final'!$AA$20="Catastrófico"),CONCATENATE("R8C",'Mapa final'!$O$20),"")</f>
        <v/>
      </c>
      <c r="AL33" s="56" t="str">
        <f>IF(AND('Mapa final'!$Y$21="Media",'Mapa final'!$AA$21="Catastrófico"),CONCATENATE("R8C",'Mapa final'!$O$21),"")</f>
        <v/>
      </c>
      <c r="AM33" s="57" t="str">
        <f>IF(AND('Mapa final'!$Y$22="Media",'Mapa final'!$AA$22="Catastrófico"),CONCATENATE("R8C",'Mapa final'!$O$22),"")</f>
        <v/>
      </c>
      <c r="AN33" s="83"/>
      <c r="AO33" s="380"/>
      <c r="AP33" s="381"/>
      <c r="AQ33" s="381"/>
      <c r="AR33" s="381"/>
      <c r="AS33" s="381"/>
      <c r="AT33" s="38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35">
      <c r="A34" s="83"/>
      <c r="B34" s="299"/>
      <c r="C34" s="299"/>
      <c r="D34" s="300"/>
      <c r="E34" s="340"/>
      <c r="F34" s="341"/>
      <c r="G34" s="341"/>
      <c r="H34" s="341"/>
      <c r="I34" s="342"/>
      <c r="J34" s="67" t="str">
        <f>IF(AND('Mapa final'!$Y$23="Media",'Mapa final'!$AA$23="Leve"),CONCATENATE("R9C",'Mapa final'!$O$23),"")</f>
        <v/>
      </c>
      <c r="K34" s="68" t="str">
        <f>IF(AND('Mapa final'!$Y$24="Media",'Mapa final'!$AA$24="Leve"),CONCATENATE("R9C",'Mapa final'!$O$24),"")</f>
        <v/>
      </c>
      <c r="L34" s="68" t="str">
        <f>IF(AND('Mapa final'!$Y$25="Media",'Mapa final'!$AA$25="Leve"),CONCATENATE("R9C",'Mapa final'!$O$25),"")</f>
        <v/>
      </c>
      <c r="M34" s="68" t="str">
        <f>IF(AND('Mapa final'!$Y$26="Media",'Mapa final'!$AA$26="Leve"),CONCATENATE("R9C",'Mapa final'!$O$26),"")</f>
        <v/>
      </c>
      <c r="N34" s="68" t="str">
        <f>IF(AND('Mapa final'!$Y$27="Media",'Mapa final'!$AA$27="Leve"),CONCATENATE("R9C",'Mapa final'!$O$27),"")</f>
        <v/>
      </c>
      <c r="O34" s="69" t="str">
        <f>IF(AND('Mapa final'!$Y$28="Media",'Mapa final'!$AA$28="Leve"),CONCATENATE("R9C",'Mapa final'!$O$28),"")</f>
        <v/>
      </c>
      <c r="P34" s="67" t="str">
        <f>IF(AND('Mapa final'!$Y$23="Media",'Mapa final'!$AA$23="Menor"),CONCATENATE("R9C",'Mapa final'!$O$23),"")</f>
        <v/>
      </c>
      <c r="Q34" s="68" t="str">
        <f>IF(AND('Mapa final'!$Y$24="Media",'Mapa final'!$AA$24="Menor"),CONCATENATE("R9C",'Mapa final'!$O$24),"")</f>
        <v/>
      </c>
      <c r="R34" s="68" t="str">
        <f>IF(AND('Mapa final'!$Y$25="Media",'Mapa final'!$AA$25="Menor"),CONCATENATE("R9C",'Mapa final'!$O$25),"")</f>
        <v/>
      </c>
      <c r="S34" s="68" t="str">
        <f>IF(AND('Mapa final'!$Y$26="Media",'Mapa final'!$AA$26="Menor"),CONCATENATE("R9C",'Mapa final'!$O$26),"")</f>
        <v/>
      </c>
      <c r="T34" s="68" t="str">
        <f>IF(AND('Mapa final'!$Y$27="Media",'Mapa final'!$AA$27="Menor"),CONCATENATE("R9C",'Mapa final'!$O$27),"")</f>
        <v/>
      </c>
      <c r="U34" s="69" t="str">
        <f>IF(AND('Mapa final'!$Y$28="Media",'Mapa final'!$AA$28="Menor"),CONCATENATE("R9C",'Mapa final'!$O$28),"")</f>
        <v/>
      </c>
      <c r="V34" s="67" t="str">
        <f>IF(AND('Mapa final'!$Y$23="Media",'Mapa final'!$AA$23="Moderado"),CONCATENATE("R9C",'Mapa final'!$O$23),"")</f>
        <v/>
      </c>
      <c r="W34" s="68" t="str">
        <f>IF(AND('Mapa final'!$Y$24="Media",'Mapa final'!$AA$24="Moderado"),CONCATENATE("R9C",'Mapa final'!$O$24),"")</f>
        <v/>
      </c>
      <c r="X34" s="68" t="str">
        <f>IF(AND('Mapa final'!$Y$25="Media",'Mapa final'!$AA$25="Moderado"),CONCATENATE("R9C",'Mapa final'!$O$25),"")</f>
        <v/>
      </c>
      <c r="Y34" s="68" t="str">
        <f>IF(AND('Mapa final'!$Y$26="Media",'Mapa final'!$AA$26="Moderado"),CONCATENATE("R9C",'Mapa final'!$O$26),"")</f>
        <v/>
      </c>
      <c r="Z34" s="68" t="str">
        <f>IF(AND('Mapa final'!$Y$27="Media",'Mapa final'!$AA$27="Moderado"),CONCATENATE("R9C",'Mapa final'!$O$27),"")</f>
        <v/>
      </c>
      <c r="AA34" s="69" t="str">
        <f>IF(AND('Mapa final'!$Y$28="Media",'Mapa final'!$AA$28="Moderado"),CONCATENATE("R9C",'Mapa final'!$O$28),"")</f>
        <v/>
      </c>
      <c r="AB34" s="52" t="str">
        <f>IF(AND('Mapa final'!$Y$23="Media",'Mapa final'!$AA$23="Mayor"),CONCATENATE("R9C",'Mapa final'!$O$23),"")</f>
        <v/>
      </c>
      <c r="AC34" s="53" t="str">
        <f>IF(AND('Mapa final'!$Y$24="Media",'Mapa final'!$AA$24="Mayor"),CONCATENATE("R9C",'Mapa final'!$O$24),"")</f>
        <v/>
      </c>
      <c r="AD34" s="53" t="str">
        <f>IF(AND('Mapa final'!$Y$25="Media",'Mapa final'!$AA$25="Mayor"),CONCATENATE("R9C",'Mapa final'!$O$25),"")</f>
        <v/>
      </c>
      <c r="AE34" s="53" t="str">
        <f>IF(AND('Mapa final'!$Y$26="Media",'Mapa final'!$AA$26="Mayor"),CONCATENATE("R9C",'Mapa final'!$O$26),"")</f>
        <v/>
      </c>
      <c r="AF34" s="53" t="str">
        <f>IF(AND('Mapa final'!$Y$27="Media",'Mapa final'!$AA$27="Mayor"),CONCATENATE("R9C",'Mapa final'!$O$27),"")</f>
        <v/>
      </c>
      <c r="AG34" s="54" t="str">
        <f>IF(AND('Mapa final'!$Y$28="Media",'Mapa final'!$AA$28="Mayor"),CONCATENATE("R9C",'Mapa final'!$O$28),"")</f>
        <v/>
      </c>
      <c r="AH34" s="55" t="str">
        <f>IF(AND('Mapa final'!$Y$23="Media",'Mapa final'!$AA$23="Catastrófico"),CONCATENATE("R9C",'Mapa final'!$O$23),"")</f>
        <v/>
      </c>
      <c r="AI34" s="56" t="str">
        <f>IF(AND('Mapa final'!$Y$24="Media",'Mapa final'!$AA$24="Catastrófico"),CONCATENATE("R9C",'Mapa final'!$O$24),"")</f>
        <v/>
      </c>
      <c r="AJ34" s="56" t="str">
        <f>IF(AND('Mapa final'!$Y$25="Media",'Mapa final'!$AA$25="Catastrófico"),CONCATENATE("R9C",'Mapa final'!$O$25),"")</f>
        <v/>
      </c>
      <c r="AK34" s="56" t="str">
        <f>IF(AND('Mapa final'!$Y$26="Media",'Mapa final'!$AA$26="Catastrófico"),CONCATENATE("R9C",'Mapa final'!$O$26),"")</f>
        <v/>
      </c>
      <c r="AL34" s="56" t="str">
        <f>IF(AND('Mapa final'!$Y$27="Media",'Mapa final'!$AA$27="Catastrófico"),CONCATENATE("R9C",'Mapa final'!$O$27),"")</f>
        <v/>
      </c>
      <c r="AM34" s="57" t="str">
        <f>IF(AND('Mapa final'!$Y$28="Media",'Mapa final'!$AA$28="Catastrófico"),CONCATENATE("R9C",'Mapa final'!$O$28),"")</f>
        <v/>
      </c>
      <c r="AN34" s="83"/>
      <c r="AO34" s="380"/>
      <c r="AP34" s="381"/>
      <c r="AQ34" s="381"/>
      <c r="AR34" s="381"/>
      <c r="AS34" s="381"/>
      <c r="AT34" s="38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4">
      <c r="A35" s="83"/>
      <c r="B35" s="299"/>
      <c r="C35" s="299"/>
      <c r="D35" s="300"/>
      <c r="E35" s="343"/>
      <c r="F35" s="344"/>
      <c r="G35" s="344"/>
      <c r="H35" s="344"/>
      <c r="I35" s="345"/>
      <c r="J35" s="67" t="str">
        <f>IF(AND('Mapa final'!$Y$29="Media",'Mapa final'!$AA$29="Leve"),CONCATENATE("R10C",'Mapa final'!$O$29),"")</f>
        <v/>
      </c>
      <c r="K35" s="68" t="str">
        <f>IF(AND('Mapa final'!$Y$30="Media",'Mapa final'!$AA$30="Leve"),CONCATENATE("R10C",'Mapa final'!$O$30),"")</f>
        <v/>
      </c>
      <c r="L35" s="68" t="str">
        <f>IF(AND('Mapa final'!$Y$31="Media",'Mapa final'!$AA$31="Leve"),CONCATENATE("R10C",'Mapa final'!$O$31),"")</f>
        <v/>
      </c>
      <c r="M35" s="68" t="str">
        <f>IF(AND('Mapa final'!$Y$32="Media",'Mapa final'!$AA$32="Leve"),CONCATENATE("R10C",'Mapa final'!$O$32),"")</f>
        <v/>
      </c>
      <c r="N35" s="68" t="str">
        <f>IF(AND('Mapa final'!$Y$33="Media",'Mapa final'!$AA$33="Leve"),CONCATENATE("R10C",'Mapa final'!$O$33),"")</f>
        <v/>
      </c>
      <c r="O35" s="69" t="str">
        <f>IF(AND('Mapa final'!$Y$34="Media",'Mapa final'!$AA$34="Leve"),CONCATENATE("R10C",'Mapa final'!$O$34),"")</f>
        <v/>
      </c>
      <c r="P35" s="67" t="str">
        <f>IF(AND('Mapa final'!$Y$29="Media",'Mapa final'!$AA$29="Menor"),CONCATENATE("R10C",'Mapa final'!$O$29),"")</f>
        <v/>
      </c>
      <c r="Q35" s="68" t="str">
        <f>IF(AND('Mapa final'!$Y$30="Media",'Mapa final'!$AA$30="Menor"),CONCATENATE("R10C",'Mapa final'!$O$30),"")</f>
        <v/>
      </c>
      <c r="R35" s="68" t="str">
        <f>IF(AND('Mapa final'!$Y$31="Media",'Mapa final'!$AA$31="Menor"),CONCATENATE("R10C",'Mapa final'!$O$31),"")</f>
        <v/>
      </c>
      <c r="S35" s="68" t="str">
        <f>IF(AND('Mapa final'!$Y$32="Media",'Mapa final'!$AA$32="Menor"),CONCATENATE("R10C",'Mapa final'!$O$32),"")</f>
        <v/>
      </c>
      <c r="T35" s="68" t="str">
        <f>IF(AND('Mapa final'!$Y$33="Media",'Mapa final'!$AA$33="Menor"),CONCATENATE("R10C",'Mapa final'!$O$33),"")</f>
        <v/>
      </c>
      <c r="U35" s="69" t="str">
        <f>IF(AND('Mapa final'!$Y$34="Media",'Mapa final'!$AA$34="Menor"),CONCATENATE("R10C",'Mapa final'!$O$34),"")</f>
        <v/>
      </c>
      <c r="V35" s="67" t="str">
        <f>IF(AND('Mapa final'!$Y$29="Media",'Mapa final'!$AA$29="Moderado"),CONCATENATE("R10C",'Mapa final'!$O$29),"")</f>
        <v/>
      </c>
      <c r="W35" s="68" t="str">
        <f>IF(AND('Mapa final'!$Y$30="Media",'Mapa final'!$AA$30="Moderado"),CONCATENATE("R10C",'Mapa final'!$O$30),"")</f>
        <v/>
      </c>
      <c r="X35" s="68" t="str">
        <f>IF(AND('Mapa final'!$Y$31="Media",'Mapa final'!$AA$31="Moderado"),CONCATENATE("R10C",'Mapa final'!$O$31),"")</f>
        <v/>
      </c>
      <c r="Y35" s="68" t="str">
        <f>IF(AND('Mapa final'!$Y$32="Media",'Mapa final'!$AA$32="Moderado"),CONCATENATE("R10C",'Mapa final'!$O$32),"")</f>
        <v/>
      </c>
      <c r="Z35" s="68" t="str">
        <f>IF(AND('Mapa final'!$Y$33="Media",'Mapa final'!$AA$33="Moderado"),CONCATENATE("R10C",'Mapa final'!$O$33),"")</f>
        <v/>
      </c>
      <c r="AA35" s="69" t="str">
        <f>IF(AND('Mapa final'!$Y$34="Media",'Mapa final'!$AA$34="Moderado"),CONCATENATE("R10C",'Mapa final'!$O$34),"")</f>
        <v/>
      </c>
      <c r="AB35" s="58" t="str">
        <f>IF(AND('Mapa final'!$Y$29="Media",'Mapa final'!$AA$29="Mayor"),CONCATENATE("R10C",'Mapa final'!$O$29),"")</f>
        <v/>
      </c>
      <c r="AC35" s="59" t="str">
        <f>IF(AND('Mapa final'!$Y$30="Media",'Mapa final'!$AA$30="Mayor"),CONCATENATE("R10C",'Mapa final'!$O$30),"")</f>
        <v/>
      </c>
      <c r="AD35" s="59" t="str">
        <f>IF(AND('Mapa final'!$Y$31="Media",'Mapa final'!$AA$31="Mayor"),CONCATENATE("R10C",'Mapa final'!$O$31),"")</f>
        <v/>
      </c>
      <c r="AE35" s="59" t="str">
        <f>IF(AND('Mapa final'!$Y$32="Media",'Mapa final'!$AA$32="Mayor"),CONCATENATE("R10C",'Mapa final'!$O$32),"")</f>
        <v/>
      </c>
      <c r="AF35" s="59" t="str">
        <f>IF(AND('Mapa final'!$Y$33="Media",'Mapa final'!$AA$33="Mayor"),CONCATENATE("R10C",'Mapa final'!$O$33),"")</f>
        <v/>
      </c>
      <c r="AG35" s="60" t="str">
        <f>IF(AND('Mapa final'!$Y$34="Media",'Mapa final'!$AA$34="Mayor"),CONCATENATE("R10C",'Mapa final'!$O$34),"")</f>
        <v/>
      </c>
      <c r="AH35" s="61" t="str">
        <f>IF(AND('Mapa final'!$Y$29="Media",'Mapa final'!$AA$29="Catastrófico"),CONCATENATE("R10C",'Mapa final'!$O$29),"")</f>
        <v/>
      </c>
      <c r="AI35" s="62" t="str">
        <f>IF(AND('Mapa final'!$Y$30="Media",'Mapa final'!$AA$30="Catastrófico"),CONCATENATE("R10C",'Mapa final'!$O$30),"")</f>
        <v/>
      </c>
      <c r="AJ35" s="62" t="str">
        <f>IF(AND('Mapa final'!$Y$31="Media",'Mapa final'!$AA$31="Catastrófico"),CONCATENATE("R10C",'Mapa final'!$O$31),"")</f>
        <v/>
      </c>
      <c r="AK35" s="62" t="str">
        <f>IF(AND('Mapa final'!$Y$32="Media",'Mapa final'!$AA$32="Catastrófico"),CONCATENATE("R10C",'Mapa final'!$O$32),"")</f>
        <v/>
      </c>
      <c r="AL35" s="62" t="str">
        <f>IF(AND('Mapa final'!$Y$33="Media",'Mapa final'!$AA$33="Catastrófico"),CONCATENATE("R10C",'Mapa final'!$O$33),"")</f>
        <v/>
      </c>
      <c r="AM35" s="63" t="str">
        <f>IF(AND('Mapa final'!$Y$34="Media",'Mapa final'!$AA$34="Catastrófico"),CONCATENATE("R10C",'Mapa final'!$O$34),"")</f>
        <v/>
      </c>
      <c r="AN35" s="83"/>
      <c r="AO35" s="383"/>
      <c r="AP35" s="384"/>
      <c r="AQ35" s="384"/>
      <c r="AR35" s="384"/>
      <c r="AS35" s="384"/>
      <c r="AT35" s="385"/>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35">
      <c r="A36" s="83"/>
      <c r="B36" s="299"/>
      <c r="C36" s="299"/>
      <c r="D36" s="300"/>
      <c r="E36" s="337" t="s">
        <v>114</v>
      </c>
      <c r="F36" s="338"/>
      <c r="G36" s="338"/>
      <c r="H36" s="338"/>
      <c r="I36" s="338"/>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8" t="s">
        <v>82</v>
      </c>
      <c r="AP36" s="369"/>
      <c r="AQ36" s="369"/>
      <c r="AR36" s="369"/>
      <c r="AS36" s="369"/>
      <c r="AT36" s="3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35">
      <c r="A37" s="83"/>
      <c r="B37" s="299"/>
      <c r="C37" s="299"/>
      <c r="D37" s="300"/>
      <c r="E37" s="356"/>
      <c r="F37" s="341"/>
      <c r="G37" s="341"/>
      <c r="H37" s="341"/>
      <c r="I37" s="341"/>
      <c r="J37" s="76" t="str">
        <f>IF(AND('Mapa final'!$Y$11="Baja",'Mapa final'!$AA$11="Leve"),CONCATENATE("R2C",'Mapa final'!$O$11),"")</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final'!$Y$11="Baja",'Mapa final'!$AA$11="Menor"),CONCATENATE("R2C",'Mapa final'!$O$11),"")</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final'!$Y$11="Baja",'Mapa final'!$AA$11="Moderado"),CONCATENATE("R2C",'Mapa final'!$O$11),"")</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71"/>
      <c r="AP37" s="372"/>
      <c r="AQ37" s="372"/>
      <c r="AR37" s="372"/>
      <c r="AS37" s="372"/>
      <c r="AT37" s="3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35">
      <c r="A38" s="83"/>
      <c r="B38" s="299"/>
      <c r="C38" s="299"/>
      <c r="D38" s="300"/>
      <c r="E38" s="340"/>
      <c r="F38" s="341"/>
      <c r="G38" s="341"/>
      <c r="H38" s="341"/>
      <c r="I38" s="341"/>
      <c r="J38" s="76" t="str">
        <f>IF(AND('Mapa final'!$Y$12="Baja",'Mapa final'!$AA$12="Leve"),CONCATENATE("R3C",'Mapa final'!$O$12),"")</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final'!$Y$12="Baja",'Mapa final'!$AA$12="Menor"),CONCATENATE("R3C",'Mapa final'!$O$12),"")</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final'!$Y$12="Baja",'Mapa final'!$AA$12="Moderado"),CONCATENATE("R3C",'Mapa final'!$O$12),"")</f>
        <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71"/>
      <c r="AP38" s="372"/>
      <c r="AQ38" s="372"/>
      <c r="AR38" s="372"/>
      <c r="AS38" s="372"/>
      <c r="AT38" s="37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35">
      <c r="A39" s="83"/>
      <c r="B39" s="299"/>
      <c r="C39" s="299"/>
      <c r="D39" s="300"/>
      <c r="E39" s="340"/>
      <c r="F39" s="341"/>
      <c r="G39" s="341"/>
      <c r="H39" s="341"/>
      <c r="I39" s="341"/>
      <c r="J39" s="76" t="str">
        <f>IF(AND('Mapa final'!$Y$13="Baja",'Mapa final'!$AA$13="Leve"),CONCATENATE("R4C",'Mapa final'!$O$13),"")</f>
        <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str">
        <f>IF(AND('Mapa final'!$Y$13="Baja",'Mapa final'!$AA$13="Menor"),CONCATENATE("R4C",'Mapa final'!$O$13),"")</f>
        <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str">
        <f>IF(AND('Mapa final'!$Y$13="Baja",'Mapa final'!$AA$13="Moderado"),CONCATENATE("R4C",'Mapa final'!$O$13),"")</f>
        <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str">
        <f>IF(AND('Mapa final'!$Y$13="Baja",'Mapa final'!$AA$13="Mayor"),CONCATENATE("R4C",'Mapa final'!$O$13),"")</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final'!$Y$13="Baja",'Mapa final'!$AA$13="Catastrófico"),CONCATENATE("R4C",'Mapa final'!$O$13),"")</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71"/>
      <c r="AP39" s="372"/>
      <c r="AQ39" s="372"/>
      <c r="AR39" s="372"/>
      <c r="AS39" s="372"/>
      <c r="AT39" s="37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35">
      <c r="A40" s="83"/>
      <c r="B40" s="299"/>
      <c r="C40" s="299"/>
      <c r="D40" s="300"/>
      <c r="E40" s="340"/>
      <c r="F40" s="341"/>
      <c r="G40" s="341"/>
      <c r="H40" s="341"/>
      <c r="I40" s="341"/>
      <c r="J40" s="76" t="str">
        <f>IF(AND('Mapa final'!$Y$14="Baja",'Mapa final'!$AA$14="Leve"),CONCATENATE("R5C",'Mapa final'!$O$14),"")</f>
        <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str">
        <f>IF(AND('Mapa final'!$Y$14="Baja",'Mapa final'!$AA$14="Menor"),CONCATENATE("R5C",'Mapa final'!$O$14),"")</f>
        <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str">
        <f>IF(AND('Mapa final'!$Y$14="Baja",'Mapa final'!$AA$14="Moderado"),CONCATENATE("R5C",'Mapa final'!$O$14),"")</f>
        <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str">
        <f>IF(AND('Mapa final'!$Y$14="Baja",'Mapa final'!$AA$14="Mayor"),CONCATENATE("R5C",'Mapa final'!$O$14),"")</f>
        <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str">
        <f>IF(AND('Mapa final'!$Y$14="Baja",'Mapa final'!$AA$14="Catastrófico"),CONCATENATE("R5C",'Mapa final'!$O$14),"")</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71"/>
      <c r="AP40" s="372"/>
      <c r="AQ40" s="372"/>
      <c r="AR40" s="372"/>
      <c r="AS40" s="372"/>
      <c r="AT40" s="37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35">
      <c r="A41" s="83"/>
      <c r="B41" s="299"/>
      <c r="C41" s="299"/>
      <c r="D41" s="300"/>
      <c r="E41" s="340"/>
      <c r="F41" s="341"/>
      <c r="G41" s="341"/>
      <c r="H41" s="341"/>
      <c r="I41" s="341"/>
      <c r="J41" s="76" t="str">
        <f>IF(AND('Mapa final'!$Y$15="Baja",'Mapa final'!$AA$15="Leve"),CONCATENATE("R6C",'Mapa final'!$O$15),"")</f>
        <v/>
      </c>
      <c r="K41" s="77" t="e">
        <f>IF(AND('Mapa final'!#REF!="Baja",'Mapa final'!#REF!="Leve"),CONCATENATE("R6C",'Mapa final'!#REF!),"")</f>
        <v>#REF!</v>
      </c>
      <c r="L41" s="77" t="e">
        <f>IF(AND('Mapa final'!#REF!="Baja",'Mapa final'!#REF!="Leve"),CONCATENATE("R6C",'Mapa final'!#REF!),"")</f>
        <v>#REF!</v>
      </c>
      <c r="M41" s="77" t="e">
        <f>IF(AND('Mapa final'!#REF!="Baja",'Mapa final'!#REF!="Leve"),CONCATENATE("R6C",'Mapa final'!#REF!),"")</f>
        <v>#REF!</v>
      </c>
      <c r="N41" s="77" t="e">
        <f>IF(AND('Mapa final'!#REF!="Baja",'Mapa final'!#REF!="Leve"),CONCATENATE("R6C",'Mapa final'!#REF!),"")</f>
        <v>#REF!</v>
      </c>
      <c r="O41" s="78" t="e">
        <f>IF(AND('Mapa final'!#REF!="Baja",'Mapa final'!#REF!="Leve"),CONCATENATE("R6C",'Mapa final'!#REF!),"")</f>
        <v>#REF!</v>
      </c>
      <c r="P41" s="67" t="str">
        <f>IF(AND('Mapa final'!$Y$15="Baja",'Mapa final'!$AA$15="Menor"),CONCATENATE("R6C",'Mapa final'!$O$15),"")</f>
        <v>R6C1</v>
      </c>
      <c r="Q41" s="68" t="e">
        <f>IF(AND('Mapa final'!#REF!="Baja",'Mapa final'!#REF!="Menor"),CONCATENATE("R6C",'Mapa final'!#REF!),"")</f>
        <v>#REF!</v>
      </c>
      <c r="R41" s="68" t="e">
        <f>IF(AND('Mapa final'!#REF!="Baja",'Mapa final'!#REF!="Menor"),CONCATENATE("R6C",'Mapa final'!#REF!),"")</f>
        <v>#REF!</v>
      </c>
      <c r="S41" s="68" t="e">
        <f>IF(AND('Mapa final'!#REF!="Baja",'Mapa final'!#REF!="Menor"),CONCATENATE("R6C",'Mapa final'!#REF!),"")</f>
        <v>#REF!</v>
      </c>
      <c r="T41" s="68" t="e">
        <f>IF(AND('Mapa final'!#REF!="Baja",'Mapa final'!#REF!="Menor"),CONCATENATE("R6C",'Mapa final'!#REF!),"")</f>
        <v>#REF!</v>
      </c>
      <c r="U41" s="69" t="e">
        <f>IF(AND('Mapa final'!#REF!="Baja",'Mapa final'!#REF!="Menor"),CONCATENATE("R6C",'Mapa final'!#REF!),"")</f>
        <v>#REF!</v>
      </c>
      <c r="V41" s="67" t="str">
        <f>IF(AND('Mapa final'!$Y$15="Baja",'Mapa final'!$AA$15="Moderado"),CONCATENATE("R6C",'Mapa final'!$O$15),"")</f>
        <v/>
      </c>
      <c r="W41" s="68" t="e">
        <f>IF(AND('Mapa final'!#REF!="Baja",'Mapa final'!#REF!="Moderado"),CONCATENATE("R6C",'Mapa final'!#REF!),"")</f>
        <v>#REF!</v>
      </c>
      <c r="X41" s="68" t="e">
        <f>IF(AND('Mapa final'!#REF!="Baja",'Mapa final'!#REF!="Moderado"),CONCATENATE("R6C",'Mapa final'!#REF!),"")</f>
        <v>#REF!</v>
      </c>
      <c r="Y41" s="68" t="e">
        <f>IF(AND('Mapa final'!#REF!="Baja",'Mapa final'!#REF!="Moderado"),CONCATENATE("R6C",'Mapa final'!#REF!),"")</f>
        <v>#REF!</v>
      </c>
      <c r="Z41" s="68" t="e">
        <f>IF(AND('Mapa final'!#REF!="Baja",'Mapa final'!#REF!="Moderado"),CONCATENATE("R6C",'Mapa final'!#REF!),"")</f>
        <v>#REF!</v>
      </c>
      <c r="AA41" s="69" t="e">
        <f>IF(AND('Mapa final'!#REF!="Baja",'Mapa final'!#REF!="Moderado"),CONCATENATE("R6C",'Mapa final'!#REF!),"")</f>
        <v>#REF!</v>
      </c>
      <c r="AB41" s="52" t="str">
        <f>IF(AND('Mapa final'!$Y$15="Baja",'Mapa final'!$AA$15="Mayor"),CONCATENATE("R6C",'Mapa final'!$O$15),"")</f>
        <v/>
      </c>
      <c r="AC41" s="53" t="e">
        <f>IF(AND('Mapa final'!#REF!="Baja",'Mapa final'!#REF!="Mayor"),CONCATENATE("R6C",'Mapa final'!#REF!),"")</f>
        <v>#REF!</v>
      </c>
      <c r="AD41" s="53" t="e">
        <f>IF(AND('Mapa final'!#REF!="Baja",'Mapa final'!#REF!="Mayor"),CONCATENATE("R6C",'Mapa final'!#REF!),"")</f>
        <v>#REF!</v>
      </c>
      <c r="AE41" s="53" t="e">
        <f>IF(AND('Mapa final'!#REF!="Baja",'Mapa final'!#REF!="Mayor"),CONCATENATE("R6C",'Mapa final'!#REF!),"")</f>
        <v>#REF!</v>
      </c>
      <c r="AF41" s="53" t="e">
        <f>IF(AND('Mapa final'!#REF!="Baja",'Mapa final'!#REF!="Mayor"),CONCATENATE("R6C",'Mapa final'!#REF!),"")</f>
        <v>#REF!</v>
      </c>
      <c r="AG41" s="54" t="e">
        <f>IF(AND('Mapa final'!#REF!="Baja",'Mapa final'!#REF!="Mayor"),CONCATENATE("R6C",'Mapa final'!#REF!),"")</f>
        <v>#REF!</v>
      </c>
      <c r="AH41" s="55" t="str">
        <f>IF(AND('Mapa final'!$Y$15="Baja",'Mapa final'!$AA$15="Catastrófico"),CONCATENATE("R6C",'Mapa final'!$O$15),"")</f>
        <v/>
      </c>
      <c r="AI41" s="56" t="e">
        <f>IF(AND('Mapa final'!#REF!="Baja",'Mapa final'!#REF!="Catastrófico"),CONCATENATE("R6C",'Mapa final'!#REF!),"")</f>
        <v>#REF!</v>
      </c>
      <c r="AJ41" s="56" t="e">
        <f>IF(AND('Mapa final'!#REF!="Baja",'Mapa final'!#REF!="Catastrófico"),CONCATENATE("R6C",'Mapa final'!#REF!),"")</f>
        <v>#REF!</v>
      </c>
      <c r="AK41" s="56" t="e">
        <f>IF(AND('Mapa final'!#REF!="Baja",'Mapa final'!#REF!="Catastrófico"),CONCATENATE("R6C",'Mapa final'!#REF!),"")</f>
        <v>#REF!</v>
      </c>
      <c r="AL41" s="56" t="e">
        <f>IF(AND('Mapa final'!#REF!="Baja",'Mapa final'!#REF!="Catastrófico"),CONCATENATE("R6C",'Mapa final'!#REF!),"")</f>
        <v>#REF!</v>
      </c>
      <c r="AM41" s="57" t="e">
        <f>IF(AND('Mapa final'!#REF!="Baja",'Mapa final'!#REF!="Catastrófico"),CONCATENATE("R6C",'Mapa final'!#REF!),"")</f>
        <v>#REF!</v>
      </c>
      <c r="AN41" s="83"/>
      <c r="AO41" s="371"/>
      <c r="AP41" s="372"/>
      <c r="AQ41" s="372"/>
      <c r="AR41" s="372"/>
      <c r="AS41" s="372"/>
      <c r="AT41" s="37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35">
      <c r="A42" s="83"/>
      <c r="B42" s="299"/>
      <c r="C42" s="299"/>
      <c r="D42" s="300"/>
      <c r="E42" s="340"/>
      <c r="F42" s="341"/>
      <c r="G42" s="341"/>
      <c r="H42" s="341"/>
      <c r="I42" s="341"/>
      <c r="J42" s="76" t="str">
        <f>IF(AND('Mapa final'!$Y$16="Baja",'Mapa final'!$AA$16="Leve"),CONCATENATE("R7C",'Mapa final'!$O$16),"")</f>
        <v/>
      </c>
      <c r="K42" s="77" t="e">
        <f>IF(AND('Mapa final'!#REF!="Baja",'Mapa final'!#REF!="Leve"),CONCATENATE("R7C",'Mapa final'!#REF!),"")</f>
        <v>#REF!</v>
      </c>
      <c r="L42" s="77" t="e">
        <f>IF(AND('Mapa final'!#REF!="Baja",'Mapa final'!#REF!="Leve"),CONCATENATE("R7C",'Mapa final'!#REF!),"")</f>
        <v>#REF!</v>
      </c>
      <c r="M42" s="77" t="e">
        <f>IF(AND('Mapa final'!#REF!="Baja",'Mapa final'!#REF!="Leve"),CONCATENATE("R7C",'Mapa final'!#REF!),"")</f>
        <v>#REF!</v>
      </c>
      <c r="N42" s="77" t="e">
        <f>IF(AND('Mapa final'!#REF!="Baja",'Mapa final'!#REF!="Leve"),CONCATENATE("R7C",'Mapa final'!#REF!),"")</f>
        <v>#REF!</v>
      </c>
      <c r="O42" s="78" t="e">
        <f>IF(AND('Mapa final'!#REF!="Baja",'Mapa final'!#REF!="Leve"),CONCATENATE("R7C",'Mapa final'!#REF!),"")</f>
        <v>#REF!</v>
      </c>
      <c r="P42" s="67" t="str">
        <f>IF(AND('Mapa final'!$Y$16="Baja",'Mapa final'!$AA$16="Menor"),CONCATENATE("R7C",'Mapa final'!$O$16),"")</f>
        <v/>
      </c>
      <c r="Q42" s="68" t="e">
        <f>IF(AND('Mapa final'!#REF!="Baja",'Mapa final'!#REF!="Menor"),CONCATENATE("R7C",'Mapa final'!#REF!),"")</f>
        <v>#REF!</v>
      </c>
      <c r="R42" s="68" t="e">
        <f>IF(AND('Mapa final'!#REF!="Baja",'Mapa final'!#REF!="Menor"),CONCATENATE("R7C",'Mapa final'!#REF!),"")</f>
        <v>#REF!</v>
      </c>
      <c r="S42" s="68" t="e">
        <f>IF(AND('Mapa final'!#REF!="Baja",'Mapa final'!#REF!="Menor"),CONCATENATE("R7C",'Mapa final'!#REF!),"")</f>
        <v>#REF!</v>
      </c>
      <c r="T42" s="68" t="e">
        <f>IF(AND('Mapa final'!#REF!="Baja",'Mapa final'!#REF!="Menor"),CONCATENATE("R7C",'Mapa final'!#REF!),"")</f>
        <v>#REF!</v>
      </c>
      <c r="U42" s="69" t="e">
        <f>IF(AND('Mapa final'!#REF!="Baja",'Mapa final'!#REF!="Menor"),CONCATENATE("R7C",'Mapa final'!#REF!),"")</f>
        <v>#REF!</v>
      </c>
      <c r="V42" s="67" t="str">
        <f>IF(AND('Mapa final'!$Y$16="Baja",'Mapa final'!$AA$16="Moderado"),CONCATENATE("R7C",'Mapa final'!$O$16),"")</f>
        <v/>
      </c>
      <c r="W42" s="68" t="e">
        <f>IF(AND('Mapa final'!#REF!="Baja",'Mapa final'!#REF!="Moderado"),CONCATENATE("R7C",'Mapa final'!#REF!),"")</f>
        <v>#REF!</v>
      </c>
      <c r="X42" s="68" t="e">
        <f>IF(AND('Mapa final'!#REF!="Baja",'Mapa final'!#REF!="Moderado"),CONCATENATE("R7C",'Mapa final'!#REF!),"")</f>
        <v>#REF!</v>
      </c>
      <c r="Y42" s="68" t="e">
        <f>IF(AND('Mapa final'!#REF!="Baja",'Mapa final'!#REF!="Moderado"),CONCATENATE("R7C",'Mapa final'!#REF!),"")</f>
        <v>#REF!</v>
      </c>
      <c r="Z42" s="68" t="e">
        <f>IF(AND('Mapa final'!#REF!="Baja",'Mapa final'!#REF!="Moderado"),CONCATENATE("R7C",'Mapa final'!#REF!),"")</f>
        <v>#REF!</v>
      </c>
      <c r="AA42" s="69" t="e">
        <f>IF(AND('Mapa final'!#REF!="Baja",'Mapa final'!#REF!="Moderado"),CONCATENATE("R7C",'Mapa final'!#REF!),"")</f>
        <v>#REF!</v>
      </c>
      <c r="AB42" s="52" t="str">
        <f>IF(AND('Mapa final'!$Y$16="Baja",'Mapa final'!$AA$16="Mayor"),CONCATENATE("R7C",'Mapa final'!$O$16),"")</f>
        <v/>
      </c>
      <c r="AC42" s="53" t="e">
        <f>IF(AND('Mapa final'!#REF!="Baja",'Mapa final'!#REF!="Mayor"),CONCATENATE("R7C",'Mapa final'!#REF!),"")</f>
        <v>#REF!</v>
      </c>
      <c r="AD42" s="53" t="e">
        <f>IF(AND('Mapa final'!#REF!="Baja",'Mapa final'!#REF!="Mayor"),CONCATENATE("R7C",'Mapa final'!#REF!),"")</f>
        <v>#REF!</v>
      </c>
      <c r="AE42" s="53" t="e">
        <f>IF(AND('Mapa final'!#REF!="Baja",'Mapa final'!#REF!="Mayor"),CONCATENATE("R7C",'Mapa final'!#REF!),"")</f>
        <v>#REF!</v>
      </c>
      <c r="AF42" s="53" t="e">
        <f>IF(AND('Mapa final'!#REF!="Baja",'Mapa final'!#REF!="Mayor"),CONCATENATE("R7C",'Mapa final'!#REF!),"")</f>
        <v>#REF!</v>
      </c>
      <c r="AG42" s="54" t="e">
        <f>IF(AND('Mapa final'!#REF!="Baja",'Mapa final'!#REF!="Mayor"),CONCATENATE("R7C",'Mapa final'!#REF!),"")</f>
        <v>#REF!</v>
      </c>
      <c r="AH42" s="55" t="str">
        <f>IF(AND('Mapa final'!$Y$16="Baja",'Mapa final'!$AA$16="Catastrófico"),CONCATENATE("R7C",'Mapa final'!$O$16),"")</f>
        <v/>
      </c>
      <c r="AI42" s="56" t="e">
        <f>IF(AND('Mapa final'!#REF!="Baja",'Mapa final'!#REF!="Catastrófico"),CONCATENATE("R7C",'Mapa final'!#REF!),"")</f>
        <v>#REF!</v>
      </c>
      <c r="AJ42" s="56" t="e">
        <f>IF(AND('Mapa final'!#REF!="Baja",'Mapa final'!#REF!="Catastrófico"),CONCATENATE("R7C",'Mapa final'!#REF!),"")</f>
        <v>#REF!</v>
      </c>
      <c r="AK42" s="56" t="e">
        <f>IF(AND('Mapa final'!#REF!="Baja",'Mapa final'!#REF!="Catastrófico"),CONCATENATE("R7C",'Mapa final'!#REF!),"")</f>
        <v>#REF!</v>
      </c>
      <c r="AL42" s="56" t="e">
        <f>IF(AND('Mapa final'!#REF!="Baja",'Mapa final'!#REF!="Catastrófico"),CONCATENATE("R7C",'Mapa final'!#REF!),"")</f>
        <v>#REF!</v>
      </c>
      <c r="AM42" s="57" t="e">
        <f>IF(AND('Mapa final'!#REF!="Baja",'Mapa final'!#REF!="Catastrófico"),CONCATENATE("R7C",'Mapa final'!#REF!),"")</f>
        <v>#REF!</v>
      </c>
      <c r="AN42" s="83"/>
      <c r="AO42" s="371"/>
      <c r="AP42" s="372"/>
      <c r="AQ42" s="372"/>
      <c r="AR42" s="372"/>
      <c r="AS42" s="372"/>
      <c r="AT42" s="37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35">
      <c r="A43" s="83"/>
      <c r="B43" s="299"/>
      <c r="C43" s="299"/>
      <c r="D43" s="300"/>
      <c r="E43" s="340"/>
      <c r="F43" s="341"/>
      <c r="G43" s="341"/>
      <c r="H43" s="341"/>
      <c r="I43" s="341"/>
      <c r="J43" s="76" t="str">
        <f>IF(AND('Mapa final'!$Y$17="Baja",'Mapa final'!$AA$17="Leve"),CONCATENATE("R8C",'Mapa final'!$O$17),"")</f>
        <v/>
      </c>
      <c r="K43" s="77" t="str">
        <f>IF(AND('Mapa final'!$Y$18="Baja",'Mapa final'!$AA$18="Leve"),CONCATENATE("R8C",'Mapa final'!$O$18),"")</f>
        <v/>
      </c>
      <c r="L43" s="77" t="str">
        <f>IF(AND('Mapa final'!$Y$19="Baja",'Mapa final'!$AA$19="Leve"),CONCATENATE("R8C",'Mapa final'!$O$19),"")</f>
        <v/>
      </c>
      <c r="M43" s="77" t="str">
        <f>IF(AND('Mapa final'!$Y$20="Baja",'Mapa final'!$AA$20="Leve"),CONCATENATE("R8C",'Mapa final'!$O$20),"")</f>
        <v/>
      </c>
      <c r="N43" s="77" t="str">
        <f>IF(AND('Mapa final'!$Y$21="Baja",'Mapa final'!$AA$21="Leve"),CONCATENATE("R8C",'Mapa final'!$O$21),"")</f>
        <v/>
      </c>
      <c r="O43" s="78" t="str">
        <f>IF(AND('Mapa final'!$Y$22="Baja",'Mapa final'!$AA$22="Leve"),CONCATENATE("R8C",'Mapa final'!$O$22),"")</f>
        <v/>
      </c>
      <c r="P43" s="67" t="str">
        <f>IF(AND('Mapa final'!$Y$17="Baja",'Mapa final'!$AA$17="Menor"),CONCATENATE("R8C",'Mapa final'!$O$17),"")</f>
        <v/>
      </c>
      <c r="Q43" s="68" t="str">
        <f>IF(AND('Mapa final'!$Y$18="Baja",'Mapa final'!$AA$18="Menor"),CONCATENATE("R8C",'Mapa final'!$O$18),"")</f>
        <v/>
      </c>
      <c r="R43" s="68" t="str">
        <f>IF(AND('Mapa final'!$Y$19="Baja",'Mapa final'!$AA$19="Menor"),CONCATENATE("R8C",'Mapa final'!$O$19),"")</f>
        <v/>
      </c>
      <c r="S43" s="68" t="str">
        <f>IF(AND('Mapa final'!$Y$20="Baja",'Mapa final'!$AA$20="Menor"),CONCATENATE("R8C",'Mapa final'!$O$20),"")</f>
        <v/>
      </c>
      <c r="T43" s="68" t="str">
        <f>IF(AND('Mapa final'!$Y$21="Baja",'Mapa final'!$AA$21="Menor"),CONCATENATE("R8C",'Mapa final'!$O$21),"")</f>
        <v/>
      </c>
      <c r="U43" s="69" t="str">
        <f>IF(AND('Mapa final'!$Y$22="Baja",'Mapa final'!$AA$22="Menor"),CONCATENATE("R8C",'Mapa final'!$O$22),"")</f>
        <v/>
      </c>
      <c r="V43" s="67" t="str">
        <f>IF(AND('Mapa final'!$Y$17="Baja",'Mapa final'!$AA$17="Moderado"),CONCATENATE("R8C",'Mapa final'!$O$17),"")</f>
        <v/>
      </c>
      <c r="W43" s="68" t="str">
        <f>IF(AND('Mapa final'!$Y$18="Baja",'Mapa final'!$AA$18="Moderado"),CONCATENATE("R8C",'Mapa final'!$O$18),"")</f>
        <v/>
      </c>
      <c r="X43" s="68" t="str">
        <f>IF(AND('Mapa final'!$Y$19="Baja",'Mapa final'!$AA$19="Moderado"),CONCATENATE("R8C",'Mapa final'!$O$19),"")</f>
        <v/>
      </c>
      <c r="Y43" s="68" t="str">
        <f>IF(AND('Mapa final'!$Y$20="Baja",'Mapa final'!$AA$20="Moderado"),CONCATENATE("R8C",'Mapa final'!$O$20),"")</f>
        <v/>
      </c>
      <c r="Z43" s="68" t="str">
        <f>IF(AND('Mapa final'!$Y$21="Baja",'Mapa final'!$AA$21="Moderado"),CONCATENATE("R8C",'Mapa final'!$O$21),"")</f>
        <v/>
      </c>
      <c r="AA43" s="69" t="str">
        <f>IF(AND('Mapa final'!$Y$22="Baja",'Mapa final'!$AA$22="Moderado"),CONCATENATE("R8C",'Mapa final'!$O$22),"")</f>
        <v/>
      </c>
      <c r="AB43" s="52" t="str">
        <f>IF(AND('Mapa final'!$Y$17="Baja",'Mapa final'!$AA$17="Mayor"),CONCATENATE("R8C",'Mapa final'!$O$17),"")</f>
        <v/>
      </c>
      <c r="AC43" s="53" t="str">
        <f>IF(AND('Mapa final'!$Y$18="Baja",'Mapa final'!$AA$18="Mayor"),CONCATENATE("R8C",'Mapa final'!$O$18),"")</f>
        <v/>
      </c>
      <c r="AD43" s="53" t="str">
        <f>IF(AND('Mapa final'!$Y$19="Baja",'Mapa final'!$AA$19="Mayor"),CONCATENATE("R8C",'Mapa final'!$O$19),"")</f>
        <v/>
      </c>
      <c r="AE43" s="53" t="str">
        <f>IF(AND('Mapa final'!$Y$20="Baja",'Mapa final'!$AA$20="Mayor"),CONCATENATE("R8C",'Mapa final'!$O$20),"")</f>
        <v/>
      </c>
      <c r="AF43" s="53" t="str">
        <f>IF(AND('Mapa final'!$Y$21="Baja",'Mapa final'!$AA$21="Mayor"),CONCATENATE("R8C",'Mapa final'!$O$21),"")</f>
        <v/>
      </c>
      <c r="AG43" s="54" t="str">
        <f>IF(AND('Mapa final'!$Y$22="Baja",'Mapa final'!$AA$22="Mayor"),CONCATENATE("R8C",'Mapa final'!$O$22),"")</f>
        <v/>
      </c>
      <c r="AH43" s="55" t="str">
        <f>IF(AND('Mapa final'!$Y$17="Baja",'Mapa final'!$AA$17="Catastrófico"),CONCATENATE("R8C",'Mapa final'!$O$17),"")</f>
        <v/>
      </c>
      <c r="AI43" s="56" t="str">
        <f>IF(AND('Mapa final'!$Y$18="Baja",'Mapa final'!$AA$18="Catastrófico"),CONCATENATE("R8C",'Mapa final'!$O$18),"")</f>
        <v/>
      </c>
      <c r="AJ43" s="56" t="str">
        <f>IF(AND('Mapa final'!$Y$19="Baja",'Mapa final'!$AA$19="Catastrófico"),CONCATENATE("R8C",'Mapa final'!$O$19),"")</f>
        <v/>
      </c>
      <c r="AK43" s="56" t="str">
        <f>IF(AND('Mapa final'!$Y$20="Baja",'Mapa final'!$AA$20="Catastrófico"),CONCATENATE("R8C",'Mapa final'!$O$20),"")</f>
        <v/>
      </c>
      <c r="AL43" s="56" t="str">
        <f>IF(AND('Mapa final'!$Y$21="Baja",'Mapa final'!$AA$21="Catastrófico"),CONCATENATE("R8C",'Mapa final'!$O$21),"")</f>
        <v/>
      </c>
      <c r="AM43" s="57" t="str">
        <f>IF(AND('Mapa final'!$Y$22="Baja",'Mapa final'!$AA$22="Catastrófico"),CONCATENATE("R8C",'Mapa final'!$O$22),"")</f>
        <v/>
      </c>
      <c r="AN43" s="83"/>
      <c r="AO43" s="371"/>
      <c r="AP43" s="372"/>
      <c r="AQ43" s="372"/>
      <c r="AR43" s="372"/>
      <c r="AS43" s="372"/>
      <c r="AT43" s="37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35">
      <c r="A44" s="83"/>
      <c r="B44" s="299"/>
      <c r="C44" s="299"/>
      <c r="D44" s="300"/>
      <c r="E44" s="340"/>
      <c r="F44" s="341"/>
      <c r="G44" s="341"/>
      <c r="H44" s="341"/>
      <c r="I44" s="341"/>
      <c r="J44" s="76" t="str">
        <f>IF(AND('Mapa final'!$Y$23="Baja",'Mapa final'!$AA$23="Leve"),CONCATENATE("R9C",'Mapa final'!$O$23),"")</f>
        <v/>
      </c>
      <c r="K44" s="77" t="str">
        <f>IF(AND('Mapa final'!$Y$24="Baja",'Mapa final'!$AA$24="Leve"),CONCATENATE("R9C",'Mapa final'!$O$24),"")</f>
        <v/>
      </c>
      <c r="L44" s="77" t="str">
        <f>IF(AND('Mapa final'!$Y$25="Baja",'Mapa final'!$AA$25="Leve"),CONCATENATE("R9C",'Mapa final'!$O$25),"")</f>
        <v/>
      </c>
      <c r="M44" s="77" t="str">
        <f>IF(AND('Mapa final'!$Y$26="Baja",'Mapa final'!$AA$26="Leve"),CONCATENATE("R9C",'Mapa final'!$O$26),"")</f>
        <v/>
      </c>
      <c r="N44" s="77" t="str">
        <f>IF(AND('Mapa final'!$Y$27="Baja",'Mapa final'!$AA$27="Leve"),CONCATENATE("R9C",'Mapa final'!$O$27),"")</f>
        <v/>
      </c>
      <c r="O44" s="78" t="str">
        <f>IF(AND('Mapa final'!$Y$28="Baja",'Mapa final'!$AA$28="Leve"),CONCATENATE("R9C",'Mapa final'!$O$28),"")</f>
        <v/>
      </c>
      <c r="P44" s="67" t="str">
        <f>IF(AND('Mapa final'!$Y$23="Baja",'Mapa final'!$AA$23="Menor"),CONCATENATE("R9C",'Mapa final'!$O$23),"")</f>
        <v/>
      </c>
      <c r="Q44" s="68" t="str">
        <f>IF(AND('Mapa final'!$Y$24="Baja",'Mapa final'!$AA$24="Menor"),CONCATENATE("R9C",'Mapa final'!$O$24),"")</f>
        <v/>
      </c>
      <c r="R44" s="68" t="str">
        <f>IF(AND('Mapa final'!$Y$25="Baja",'Mapa final'!$AA$25="Menor"),CONCATENATE("R9C",'Mapa final'!$O$25),"")</f>
        <v/>
      </c>
      <c r="S44" s="68" t="str">
        <f>IF(AND('Mapa final'!$Y$26="Baja",'Mapa final'!$AA$26="Menor"),CONCATENATE("R9C",'Mapa final'!$O$26),"")</f>
        <v/>
      </c>
      <c r="T44" s="68" t="str">
        <f>IF(AND('Mapa final'!$Y$27="Baja",'Mapa final'!$AA$27="Menor"),CONCATENATE("R9C",'Mapa final'!$O$27),"")</f>
        <v/>
      </c>
      <c r="U44" s="69" t="str">
        <f>IF(AND('Mapa final'!$Y$28="Baja",'Mapa final'!$AA$28="Menor"),CONCATENATE("R9C",'Mapa final'!$O$28),"")</f>
        <v/>
      </c>
      <c r="V44" s="67" t="str">
        <f>IF(AND('Mapa final'!$Y$23="Baja",'Mapa final'!$AA$23="Moderado"),CONCATENATE("R9C",'Mapa final'!$O$23),"")</f>
        <v/>
      </c>
      <c r="W44" s="68" t="str">
        <f>IF(AND('Mapa final'!$Y$24="Baja",'Mapa final'!$AA$24="Moderado"),CONCATENATE("R9C",'Mapa final'!$O$24),"")</f>
        <v/>
      </c>
      <c r="X44" s="68" t="str">
        <f>IF(AND('Mapa final'!$Y$25="Baja",'Mapa final'!$AA$25="Moderado"),CONCATENATE("R9C",'Mapa final'!$O$25),"")</f>
        <v/>
      </c>
      <c r="Y44" s="68" t="str">
        <f>IF(AND('Mapa final'!$Y$26="Baja",'Mapa final'!$AA$26="Moderado"),CONCATENATE("R9C",'Mapa final'!$O$26),"")</f>
        <v/>
      </c>
      <c r="Z44" s="68" t="str">
        <f>IF(AND('Mapa final'!$Y$27="Baja",'Mapa final'!$AA$27="Moderado"),CONCATENATE("R9C",'Mapa final'!$O$27),"")</f>
        <v/>
      </c>
      <c r="AA44" s="69" t="str">
        <f>IF(AND('Mapa final'!$Y$28="Baja",'Mapa final'!$AA$28="Moderado"),CONCATENATE("R9C",'Mapa final'!$O$28),"")</f>
        <v/>
      </c>
      <c r="AB44" s="52" t="str">
        <f>IF(AND('Mapa final'!$Y$23="Baja",'Mapa final'!$AA$23="Mayor"),CONCATENATE("R9C",'Mapa final'!$O$23),"")</f>
        <v/>
      </c>
      <c r="AC44" s="53" t="str">
        <f>IF(AND('Mapa final'!$Y$24="Baja",'Mapa final'!$AA$24="Mayor"),CONCATENATE("R9C",'Mapa final'!$O$24),"")</f>
        <v/>
      </c>
      <c r="AD44" s="53" t="str">
        <f>IF(AND('Mapa final'!$Y$25="Baja",'Mapa final'!$AA$25="Mayor"),CONCATENATE("R9C",'Mapa final'!$O$25),"")</f>
        <v/>
      </c>
      <c r="AE44" s="53" t="str">
        <f>IF(AND('Mapa final'!$Y$26="Baja",'Mapa final'!$AA$26="Mayor"),CONCATENATE("R9C",'Mapa final'!$O$26),"")</f>
        <v/>
      </c>
      <c r="AF44" s="53" t="str">
        <f>IF(AND('Mapa final'!$Y$27="Baja",'Mapa final'!$AA$27="Mayor"),CONCATENATE("R9C",'Mapa final'!$O$27),"")</f>
        <v/>
      </c>
      <c r="AG44" s="54" t="str">
        <f>IF(AND('Mapa final'!$Y$28="Baja",'Mapa final'!$AA$28="Mayor"),CONCATENATE("R9C",'Mapa final'!$O$28),"")</f>
        <v/>
      </c>
      <c r="AH44" s="55" t="str">
        <f>IF(AND('Mapa final'!$Y$23="Baja",'Mapa final'!$AA$23="Catastrófico"),CONCATENATE("R9C",'Mapa final'!$O$23),"")</f>
        <v/>
      </c>
      <c r="AI44" s="56" t="str">
        <f>IF(AND('Mapa final'!$Y$24="Baja",'Mapa final'!$AA$24="Catastrófico"),CONCATENATE("R9C",'Mapa final'!$O$24),"")</f>
        <v/>
      </c>
      <c r="AJ44" s="56" t="str">
        <f>IF(AND('Mapa final'!$Y$25="Baja",'Mapa final'!$AA$25="Catastrófico"),CONCATENATE("R9C",'Mapa final'!$O$25),"")</f>
        <v/>
      </c>
      <c r="AK44" s="56" t="str">
        <f>IF(AND('Mapa final'!$Y$26="Baja",'Mapa final'!$AA$26="Catastrófico"),CONCATENATE("R9C",'Mapa final'!$O$26),"")</f>
        <v/>
      </c>
      <c r="AL44" s="56" t="str">
        <f>IF(AND('Mapa final'!$Y$27="Baja",'Mapa final'!$AA$27="Catastrófico"),CONCATENATE("R9C",'Mapa final'!$O$27),"")</f>
        <v/>
      </c>
      <c r="AM44" s="57" t="str">
        <f>IF(AND('Mapa final'!$Y$28="Baja",'Mapa final'!$AA$28="Catastrófico"),CONCATENATE("R9C",'Mapa final'!$O$28),"")</f>
        <v/>
      </c>
      <c r="AN44" s="83"/>
      <c r="AO44" s="371"/>
      <c r="AP44" s="372"/>
      <c r="AQ44" s="372"/>
      <c r="AR44" s="372"/>
      <c r="AS44" s="372"/>
      <c r="AT44" s="37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4">
      <c r="A45" s="83"/>
      <c r="B45" s="299"/>
      <c r="C45" s="299"/>
      <c r="D45" s="300"/>
      <c r="E45" s="343"/>
      <c r="F45" s="344"/>
      <c r="G45" s="344"/>
      <c r="H45" s="344"/>
      <c r="I45" s="344"/>
      <c r="J45" s="79" t="str">
        <f>IF(AND('Mapa final'!$Y$29="Baja",'Mapa final'!$AA$29="Leve"),CONCATENATE("R10C",'Mapa final'!$O$29),"")</f>
        <v/>
      </c>
      <c r="K45" s="80" t="str">
        <f>IF(AND('Mapa final'!$Y$30="Baja",'Mapa final'!$AA$30="Leve"),CONCATENATE("R10C",'Mapa final'!$O$30),"")</f>
        <v/>
      </c>
      <c r="L45" s="80" t="str">
        <f>IF(AND('Mapa final'!$Y$31="Baja",'Mapa final'!$AA$31="Leve"),CONCATENATE("R10C",'Mapa final'!$O$31),"")</f>
        <v/>
      </c>
      <c r="M45" s="80" t="str">
        <f>IF(AND('Mapa final'!$Y$32="Baja",'Mapa final'!$AA$32="Leve"),CONCATENATE("R10C",'Mapa final'!$O$32),"")</f>
        <v/>
      </c>
      <c r="N45" s="80" t="str">
        <f>IF(AND('Mapa final'!$Y$33="Baja",'Mapa final'!$AA$33="Leve"),CONCATENATE("R10C",'Mapa final'!$O$33),"")</f>
        <v/>
      </c>
      <c r="O45" s="81" t="str">
        <f>IF(AND('Mapa final'!$Y$34="Baja",'Mapa final'!$AA$34="Leve"),CONCATENATE("R10C",'Mapa final'!$O$34),"")</f>
        <v/>
      </c>
      <c r="P45" s="67" t="str">
        <f>IF(AND('Mapa final'!$Y$29="Baja",'Mapa final'!$AA$29="Menor"),CONCATENATE("R10C",'Mapa final'!$O$29),"")</f>
        <v/>
      </c>
      <c r="Q45" s="68" t="str">
        <f>IF(AND('Mapa final'!$Y$30="Baja",'Mapa final'!$AA$30="Menor"),CONCATENATE("R10C",'Mapa final'!$O$30),"")</f>
        <v/>
      </c>
      <c r="R45" s="68" t="str">
        <f>IF(AND('Mapa final'!$Y$31="Baja",'Mapa final'!$AA$31="Menor"),CONCATENATE("R10C",'Mapa final'!$O$31),"")</f>
        <v/>
      </c>
      <c r="S45" s="68" t="str">
        <f>IF(AND('Mapa final'!$Y$32="Baja",'Mapa final'!$AA$32="Menor"),CONCATENATE("R10C",'Mapa final'!$O$32),"")</f>
        <v/>
      </c>
      <c r="T45" s="68" t="str">
        <f>IF(AND('Mapa final'!$Y$33="Baja",'Mapa final'!$AA$33="Menor"),CONCATENATE("R10C",'Mapa final'!$O$33),"")</f>
        <v/>
      </c>
      <c r="U45" s="69" t="str">
        <f>IF(AND('Mapa final'!$Y$34="Baja",'Mapa final'!$AA$34="Menor"),CONCATENATE("R10C",'Mapa final'!$O$34),"")</f>
        <v/>
      </c>
      <c r="V45" s="70" t="str">
        <f>IF(AND('Mapa final'!$Y$29="Baja",'Mapa final'!$AA$29="Moderado"),CONCATENATE("R10C",'Mapa final'!$O$29),"")</f>
        <v/>
      </c>
      <c r="W45" s="71" t="str">
        <f>IF(AND('Mapa final'!$Y$30="Baja",'Mapa final'!$AA$30="Moderado"),CONCATENATE("R10C",'Mapa final'!$O$30),"")</f>
        <v/>
      </c>
      <c r="X45" s="71" t="str">
        <f>IF(AND('Mapa final'!$Y$31="Baja",'Mapa final'!$AA$31="Moderado"),CONCATENATE("R10C",'Mapa final'!$O$31),"")</f>
        <v/>
      </c>
      <c r="Y45" s="71" t="str">
        <f>IF(AND('Mapa final'!$Y$32="Baja",'Mapa final'!$AA$32="Moderado"),CONCATENATE("R10C",'Mapa final'!$O$32),"")</f>
        <v/>
      </c>
      <c r="Z45" s="71" t="str">
        <f>IF(AND('Mapa final'!$Y$33="Baja",'Mapa final'!$AA$33="Moderado"),CONCATENATE("R10C",'Mapa final'!$O$33),"")</f>
        <v/>
      </c>
      <c r="AA45" s="72" t="str">
        <f>IF(AND('Mapa final'!$Y$34="Baja",'Mapa final'!$AA$34="Moderado"),CONCATENATE("R10C",'Mapa final'!$O$34),"")</f>
        <v/>
      </c>
      <c r="AB45" s="58" t="str">
        <f>IF(AND('Mapa final'!$Y$29="Baja",'Mapa final'!$AA$29="Mayor"),CONCATENATE("R10C",'Mapa final'!$O$29),"")</f>
        <v/>
      </c>
      <c r="AC45" s="59" t="str">
        <f>IF(AND('Mapa final'!$Y$30="Baja",'Mapa final'!$AA$30="Mayor"),CONCATENATE("R10C",'Mapa final'!$O$30),"")</f>
        <v/>
      </c>
      <c r="AD45" s="59" t="str">
        <f>IF(AND('Mapa final'!$Y$31="Baja",'Mapa final'!$AA$31="Mayor"),CONCATENATE("R10C",'Mapa final'!$O$31),"")</f>
        <v/>
      </c>
      <c r="AE45" s="59" t="str">
        <f>IF(AND('Mapa final'!$Y$32="Baja",'Mapa final'!$AA$32="Mayor"),CONCATENATE("R10C",'Mapa final'!$O$32),"")</f>
        <v/>
      </c>
      <c r="AF45" s="59" t="str">
        <f>IF(AND('Mapa final'!$Y$33="Baja",'Mapa final'!$AA$33="Mayor"),CONCATENATE("R10C",'Mapa final'!$O$33),"")</f>
        <v/>
      </c>
      <c r="AG45" s="60" t="str">
        <f>IF(AND('Mapa final'!$Y$34="Baja",'Mapa final'!$AA$34="Mayor"),CONCATENATE("R10C",'Mapa final'!$O$34),"")</f>
        <v/>
      </c>
      <c r="AH45" s="61" t="str">
        <f>IF(AND('Mapa final'!$Y$29="Baja",'Mapa final'!$AA$29="Catastrófico"),CONCATENATE("R10C",'Mapa final'!$O$29),"")</f>
        <v/>
      </c>
      <c r="AI45" s="62" t="str">
        <f>IF(AND('Mapa final'!$Y$30="Baja",'Mapa final'!$AA$30="Catastrófico"),CONCATENATE("R10C",'Mapa final'!$O$30),"")</f>
        <v/>
      </c>
      <c r="AJ45" s="62" t="str">
        <f>IF(AND('Mapa final'!$Y$31="Baja",'Mapa final'!$AA$31="Catastrófico"),CONCATENATE("R10C",'Mapa final'!$O$31),"")</f>
        <v/>
      </c>
      <c r="AK45" s="62" t="str">
        <f>IF(AND('Mapa final'!$Y$32="Baja",'Mapa final'!$AA$32="Catastrófico"),CONCATENATE("R10C",'Mapa final'!$O$32),"")</f>
        <v/>
      </c>
      <c r="AL45" s="62" t="str">
        <f>IF(AND('Mapa final'!$Y$33="Baja",'Mapa final'!$AA$33="Catastrófico"),CONCATENATE("R10C",'Mapa final'!$O$33),"")</f>
        <v/>
      </c>
      <c r="AM45" s="63" t="str">
        <f>IF(AND('Mapa final'!$Y$34="Baja",'Mapa final'!$AA$34="Catastrófico"),CONCATENATE("R10C",'Mapa final'!$O$34),"")</f>
        <v/>
      </c>
      <c r="AN45" s="83"/>
      <c r="AO45" s="374"/>
      <c r="AP45" s="375"/>
      <c r="AQ45" s="375"/>
      <c r="AR45" s="375"/>
      <c r="AS45" s="375"/>
      <c r="AT45" s="376"/>
    </row>
    <row r="46" spans="1:80" ht="46.5" customHeight="1" x14ac:dyDescent="0.55000000000000004">
      <c r="A46" s="83"/>
      <c r="B46" s="299"/>
      <c r="C46" s="299"/>
      <c r="D46" s="300"/>
      <c r="E46" s="337" t="s">
        <v>113</v>
      </c>
      <c r="F46" s="338"/>
      <c r="G46" s="338"/>
      <c r="H46" s="338"/>
      <c r="I46" s="339"/>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35">
      <c r="A47" s="83"/>
      <c r="B47" s="299"/>
      <c r="C47" s="299"/>
      <c r="D47" s="300"/>
      <c r="E47" s="356"/>
      <c r="F47" s="341"/>
      <c r="G47" s="341"/>
      <c r="H47" s="341"/>
      <c r="I47" s="342"/>
      <c r="J47" s="76" t="str">
        <f>IF(AND('Mapa final'!$Y$11="Muy Baja",'Mapa final'!$AA$11="Leve"),CONCATENATE("R2C",'Mapa final'!$O$11),"")</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final'!$Y$11="Muy Baja",'Mapa final'!$AA$11="Menor"),CONCATENATE("R2C",'Mapa final'!$O$11),"")</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final'!$Y$11="Muy Baja",'Mapa final'!$AA$11="Moderado"),CONCATENATE("R2C",'Mapa final'!$O$11),"")</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35">
      <c r="A48" s="83"/>
      <c r="B48" s="299"/>
      <c r="C48" s="299"/>
      <c r="D48" s="300"/>
      <c r="E48" s="356"/>
      <c r="F48" s="341"/>
      <c r="G48" s="341"/>
      <c r="H48" s="341"/>
      <c r="I48" s="342"/>
      <c r="J48" s="76" t="str">
        <f>IF(AND('Mapa final'!$Y$12="Muy Baja",'Mapa final'!$AA$12="Leve"),CONCATENATE("R3C",'Mapa final'!$O$12),"")</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final'!$Y$12="Muy Baja",'Mapa final'!$AA$12="Menor"),CONCATENATE("R3C",'Mapa final'!$O$12),"")</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final'!$Y$12="Muy Baja",'Mapa final'!$AA$12="Moderado"),CONCATENATE("R3C",'Mapa final'!$O$12),"")</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35">
      <c r="A49" s="83"/>
      <c r="B49" s="299"/>
      <c r="C49" s="299"/>
      <c r="D49" s="300"/>
      <c r="E49" s="340"/>
      <c r="F49" s="341"/>
      <c r="G49" s="341"/>
      <c r="H49" s="341"/>
      <c r="I49" s="342"/>
      <c r="J49" s="76" t="str">
        <f>IF(AND('Mapa final'!$Y$13="Muy Baja",'Mapa final'!$AA$13="Leve"),CONCATENATE("R4C",'Mapa final'!$O$13),"")</f>
        <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str">
        <f>IF(AND('Mapa final'!$Y$13="Muy Baja",'Mapa final'!$AA$13="Menor"),CONCATENATE("R4C",'Mapa final'!$O$13),"")</f>
        <v>R4C1</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str">
        <f>IF(AND('Mapa final'!$Y$13="Muy Baja",'Mapa final'!$AA$13="Moderado"),CONCATENATE("R4C",'Mapa final'!$O$13),"")</f>
        <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str">
        <f>IF(AND('Mapa final'!$Y$13="Muy Baja",'Mapa final'!$AA$13="Mayor"),CONCATENATE("R4C",'Mapa final'!$O$13),"")</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final'!$Y$13="Muy Baja",'Mapa final'!$AA$13="Catastrófico"),CONCATENATE("R4C",'Mapa final'!$O$13),"")</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35">
      <c r="A50" s="83"/>
      <c r="B50" s="299"/>
      <c r="C50" s="299"/>
      <c r="D50" s="300"/>
      <c r="E50" s="340"/>
      <c r="F50" s="341"/>
      <c r="G50" s="341"/>
      <c r="H50" s="341"/>
      <c r="I50" s="342"/>
      <c r="J50" s="76" t="str">
        <f>IF(AND('Mapa final'!$Y$14="Muy Baja",'Mapa final'!$AA$14="Leve"),CONCATENATE("R5C",'Mapa final'!$O$14),"")</f>
        <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str">
        <f>IF(AND('Mapa final'!$Y$14="Muy Baja",'Mapa final'!$AA$14="Menor"),CONCATENATE("R5C",'Mapa final'!$O$14),"")</f>
        <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str">
        <f>IF(AND('Mapa final'!$Y$14="Muy Baja",'Mapa final'!$AA$14="Moderado"),CONCATENATE("R5C",'Mapa final'!$O$14),"")</f>
        <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str">
        <f>IF(AND('Mapa final'!$Y$14="Muy Baja",'Mapa final'!$AA$14="Mayor"),CONCATENATE("R5C",'Mapa final'!$O$14),"")</f>
        <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str">
        <f>IF(AND('Mapa final'!$Y$14="Muy Baja",'Mapa final'!$AA$14="Catastrófico"),CONCATENATE("R5C",'Mapa final'!$O$14),"")</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35">
      <c r="A51" s="83"/>
      <c r="B51" s="299"/>
      <c r="C51" s="299"/>
      <c r="D51" s="300"/>
      <c r="E51" s="340"/>
      <c r="F51" s="341"/>
      <c r="G51" s="341"/>
      <c r="H51" s="341"/>
      <c r="I51" s="342"/>
      <c r="J51" s="76" t="str">
        <f>IF(AND('Mapa final'!$Y$15="Muy Baja",'Mapa final'!$AA$15="Leve"),CONCATENATE("R6C",'Mapa final'!$O$15),"")</f>
        <v/>
      </c>
      <c r="K51" s="77" t="e">
        <f>IF(AND('Mapa final'!#REF!="Muy Baja",'Mapa final'!#REF!="Leve"),CONCATENATE("R6C",'Mapa final'!#REF!),"")</f>
        <v>#REF!</v>
      </c>
      <c r="L51" s="77" t="e">
        <f>IF(AND('Mapa final'!#REF!="Muy Baja",'Mapa final'!#REF!="Leve"),CONCATENATE("R6C",'Mapa final'!#REF!),"")</f>
        <v>#REF!</v>
      </c>
      <c r="M51" s="77" t="e">
        <f>IF(AND('Mapa final'!#REF!="Muy Baja",'Mapa final'!#REF!="Leve"),CONCATENATE("R6C",'Mapa final'!#REF!),"")</f>
        <v>#REF!</v>
      </c>
      <c r="N51" s="77" t="e">
        <f>IF(AND('Mapa final'!#REF!="Muy Baja",'Mapa final'!#REF!="Leve"),CONCATENATE("R6C",'Mapa final'!#REF!),"")</f>
        <v>#REF!</v>
      </c>
      <c r="O51" s="78" t="e">
        <f>IF(AND('Mapa final'!#REF!="Muy Baja",'Mapa final'!#REF!="Leve"),CONCATENATE("R6C",'Mapa final'!#REF!),"")</f>
        <v>#REF!</v>
      </c>
      <c r="P51" s="76" t="str">
        <f>IF(AND('Mapa final'!$Y$15="Muy Baja",'Mapa final'!$AA$15="Menor"),CONCATENATE("R6C",'Mapa final'!$O$15),"")</f>
        <v/>
      </c>
      <c r="Q51" s="77" t="e">
        <f>IF(AND('Mapa final'!#REF!="Muy Baja",'Mapa final'!#REF!="Menor"),CONCATENATE("R6C",'Mapa final'!#REF!),"")</f>
        <v>#REF!</v>
      </c>
      <c r="R51" s="77" t="e">
        <f>IF(AND('Mapa final'!#REF!="Muy Baja",'Mapa final'!#REF!="Menor"),CONCATENATE("R6C",'Mapa final'!#REF!),"")</f>
        <v>#REF!</v>
      </c>
      <c r="S51" s="77" t="e">
        <f>IF(AND('Mapa final'!#REF!="Muy Baja",'Mapa final'!#REF!="Menor"),CONCATENATE("R6C",'Mapa final'!#REF!),"")</f>
        <v>#REF!</v>
      </c>
      <c r="T51" s="77" t="e">
        <f>IF(AND('Mapa final'!#REF!="Muy Baja",'Mapa final'!#REF!="Menor"),CONCATENATE("R6C",'Mapa final'!#REF!),"")</f>
        <v>#REF!</v>
      </c>
      <c r="U51" s="78" t="e">
        <f>IF(AND('Mapa final'!#REF!="Muy Baja",'Mapa final'!#REF!="Menor"),CONCATENATE("R6C",'Mapa final'!#REF!),"")</f>
        <v>#REF!</v>
      </c>
      <c r="V51" s="67" t="str">
        <f>IF(AND('Mapa final'!$Y$15="Muy Baja",'Mapa final'!$AA$15="Moderado"),CONCATENATE("R6C",'Mapa final'!$O$15),"")</f>
        <v/>
      </c>
      <c r="W51" s="68" t="e">
        <f>IF(AND('Mapa final'!#REF!="Muy Baja",'Mapa final'!#REF!="Moderado"),CONCATENATE("R6C",'Mapa final'!#REF!),"")</f>
        <v>#REF!</v>
      </c>
      <c r="X51" s="68" t="e">
        <f>IF(AND('Mapa final'!#REF!="Muy Baja",'Mapa final'!#REF!="Moderado"),CONCATENATE("R6C",'Mapa final'!#REF!),"")</f>
        <v>#REF!</v>
      </c>
      <c r="Y51" s="68" t="e">
        <f>IF(AND('Mapa final'!#REF!="Muy Baja",'Mapa final'!#REF!="Moderado"),CONCATENATE("R6C",'Mapa final'!#REF!),"")</f>
        <v>#REF!</v>
      </c>
      <c r="Z51" s="68" t="e">
        <f>IF(AND('Mapa final'!#REF!="Muy Baja",'Mapa final'!#REF!="Moderado"),CONCATENATE("R6C",'Mapa final'!#REF!),"")</f>
        <v>#REF!</v>
      </c>
      <c r="AA51" s="69" t="e">
        <f>IF(AND('Mapa final'!#REF!="Muy Baja",'Mapa final'!#REF!="Moderado"),CONCATENATE("R6C",'Mapa final'!#REF!),"")</f>
        <v>#REF!</v>
      </c>
      <c r="AB51" s="52" t="str">
        <f>IF(AND('Mapa final'!$Y$15="Muy Baja",'Mapa final'!$AA$15="Mayor"),CONCATENATE("R6C",'Mapa final'!$O$15),"")</f>
        <v/>
      </c>
      <c r="AC51" s="53" t="e">
        <f>IF(AND('Mapa final'!#REF!="Muy Baja",'Mapa final'!#REF!="Mayor"),CONCATENATE("R6C",'Mapa final'!#REF!),"")</f>
        <v>#REF!</v>
      </c>
      <c r="AD51" s="53" t="e">
        <f>IF(AND('Mapa final'!#REF!="Muy Baja",'Mapa final'!#REF!="Mayor"),CONCATENATE("R6C",'Mapa final'!#REF!),"")</f>
        <v>#REF!</v>
      </c>
      <c r="AE51" s="53" t="e">
        <f>IF(AND('Mapa final'!#REF!="Muy Baja",'Mapa final'!#REF!="Mayor"),CONCATENATE("R6C",'Mapa final'!#REF!),"")</f>
        <v>#REF!</v>
      </c>
      <c r="AF51" s="53" t="e">
        <f>IF(AND('Mapa final'!#REF!="Muy Baja",'Mapa final'!#REF!="Mayor"),CONCATENATE("R6C",'Mapa final'!#REF!),"")</f>
        <v>#REF!</v>
      </c>
      <c r="AG51" s="54" t="e">
        <f>IF(AND('Mapa final'!#REF!="Muy Baja",'Mapa final'!#REF!="Mayor"),CONCATENATE("R6C",'Mapa final'!#REF!),"")</f>
        <v>#REF!</v>
      </c>
      <c r="AH51" s="55" t="str">
        <f>IF(AND('Mapa final'!$Y$15="Muy Baja",'Mapa final'!$AA$15="Catastrófico"),CONCATENATE("R6C",'Mapa final'!$O$15),"")</f>
        <v/>
      </c>
      <c r="AI51" s="56" t="e">
        <f>IF(AND('Mapa final'!#REF!="Muy Baja",'Mapa final'!#REF!="Catastrófico"),CONCATENATE("R6C",'Mapa final'!#REF!),"")</f>
        <v>#REF!</v>
      </c>
      <c r="AJ51" s="56" t="e">
        <f>IF(AND('Mapa final'!#REF!="Muy Baja",'Mapa final'!#REF!="Catastrófico"),CONCATENATE("R6C",'Mapa final'!#REF!),"")</f>
        <v>#REF!</v>
      </c>
      <c r="AK51" s="56" t="e">
        <f>IF(AND('Mapa final'!#REF!="Muy Baja",'Mapa final'!#REF!="Catastrófico"),CONCATENATE("R6C",'Mapa final'!#REF!),"")</f>
        <v>#REF!</v>
      </c>
      <c r="AL51" s="56" t="e">
        <f>IF(AND('Mapa final'!#REF!="Muy Baja",'Mapa final'!#REF!="Catastrófico"),CONCATENATE("R6C",'Mapa final'!#REF!),"")</f>
        <v>#REF!</v>
      </c>
      <c r="AM51" s="57" t="e">
        <f>IF(AND('Mapa final'!#REF!="Muy Baja",'Mapa final'!#REF!="Catastrófico"),CONCATENATE("R6C",'Mapa final'!#REF!),"")</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35">
      <c r="A52" s="83"/>
      <c r="B52" s="299"/>
      <c r="C52" s="299"/>
      <c r="D52" s="300"/>
      <c r="E52" s="340"/>
      <c r="F52" s="341"/>
      <c r="G52" s="341"/>
      <c r="H52" s="341"/>
      <c r="I52" s="342"/>
      <c r="J52" s="76" t="str">
        <f>IF(AND('Mapa final'!$Y$16="Muy Baja",'Mapa final'!$AA$16="Leve"),CONCATENATE("R7C",'Mapa final'!$O$16),"")</f>
        <v/>
      </c>
      <c r="K52" s="77" t="e">
        <f>IF(AND('Mapa final'!#REF!="Muy Baja",'Mapa final'!#REF!="Leve"),CONCATENATE("R7C",'Mapa final'!#REF!),"")</f>
        <v>#REF!</v>
      </c>
      <c r="L52" s="77" t="e">
        <f>IF(AND('Mapa final'!#REF!="Muy Baja",'Mapa final'!#REF!="Leve"),CONCATENATE("R7C",'Mapa final'!#REF!),"")</f>
        <v>#REF!</v>
      </c>
      <c r="M52" s="77" t="e">
        <f>IF(AND('Mapa final'!#REF!="Muy Baja",'Mapa final'!#REF!="Leve"),CONCATENATE("R7C",'Mapa final'!#REF!),"")</f>
        <v>#REF!</v>
      </c>
      <c r="N52" s="77" t="e">
        <f>IF(AND('Mapa final'!#REF!="Muy Baja",'Mapa final'!#REF!="Leve"),CONCATENATE("R7C",'Mapa final'!#REF!),"")</f>
        <v>#REF!</v>
      </c>
      <c r="O52" s="78" t="e">
        <f>IF(AND('Mapa final'!#REF!="Muy Baja",'Mapa final'!#REF!="Leve"),CONCATENATE("R7C",'Mapa final'!#REF!),"")</f>
        <v>#REF!</v>
      </c>
      <c r="P52" s="76" t="str">
        <f>IF(AND('Mapa final'!$Y$16="Muy Baja",'Mapa final'!$AA$16="Menor"),CONCATENATE("R7C",'Mapa final'!$O$16),"")</f>
        <v/>
      </c>
      <c r="Q52" s="77" t="e">
        <f>IF(AND('Mapa final'!#REF!="Muy Baja",'Mapa final'!#REF!="Menor"),CONCATENATE("R7C",'Mapa final'!#REF!),"")</f>
        <v>#REF!</v>
      </c>
      <c r="R52" s="77" t="e">
        <f>IF(AND('Mapa final'!#REF!="Muy Baja",'Mapa final'!#REF!="Menor"),CONCATENATE("R7C",'Mapa final'!#REF!),"")</f>
        <v>#REF!</v>
      </c>
      <c r="S52" s="77" t="e">
        <f>IF(AND('Mapa final'!#REF!="Muy Baja",'Mapa final'!#REF!="Menor"),CONCATENATE("R7C",'Mapa final'!#REF!),"")</f>
        <v>#REF!</v>
      </c>
      <c r="T52" s="77" t="e">
        <f>IF(AND('Mapa final'!#REF!="Muy Baja",'Mapa final'!#REF!="Menor"),CONCATENATE("R7C",'Mapa final'!#REF!),"")</f>
        <v>#REF!</v>
      </c>
      <c r="U52" s="78" t="e">
        <f>IF(AND('Mapa final'!#REF!="Muy Baja",'Mapa final'!#REF!="Menor"),CONCATENATE("R7C",'Mapa final'!#REF!),"")</f>
        <v>#REF!</v>
      </c>
      <c r="V52" s="67" t="str">
        <f>IF(AND('Mapa final'!$Y$16="Muy Baja",'Mapa final'!$AA$16="Moderado"),CONCATENATE("R7C",'Mapa final'!$O$16),"")</f>
        <v/>
      </c>
      <c r="W52" s="68" t="e">
        <f>IF(AND('Mapa final'!#REF!="Muy Baja",'Mapa final'!#REF!="Moderado"),CONCATENATE("R7C",'Mapa final'!#REF!),"")</f>
        <v>#REF!</v>
      </c>
      <c r="X52" s="68" t="e">
        <f>IF(AND('Mapa final'!#REF!="Muy Baja",'Mapa final'!#REF!="Moderado"),CONCATENATE("R7C",'Mapa final'!#REF!),"")</f>
        <v>#REF!</v>
      </c>
      <c r="Y52" s="68" t="e">
        <f>IF(AND('Mapa final'!#REF!="Muy Baja",'Mapa final'!#REF!="Moderado"),CONCATENATE("R7C",'Mapa final'!#REF!),"")</f>
        <v>#REF!</v>
      </c>
      <c r="Z52" s="68" t="e">
        <f>IF(AND('Mapa final'!#REF!="Muy Baja",'Mapa final'!#REF!="Moderado"),CONCATENATE("R7C",'Mapa final'!#REF!),"")</f>
        <v>#REF!</v>
      </c>
      <c r="AA52" s="69" t="e">
        <f>IF(AND('Mapa final'!#REF!="Muy Baja",'Mapa final'!#REF!="Moderado"),CONCATENATE("R7C",'Mapa final'!#REF!),"")</f>
        <v>#REF!</v>
      </c>
      <c r="AB52" s="52" t="str">
        <f>IF(AND('Mapa final'!$Y$16="Muy Baja",'Mapa final'!$AA$16="Mayor"),CONCATENATE("R7C",'Mapa final'!$O$16),"")</f>
        <v/>
      </c>
      <c r="AC52" s="53" t="e">
        <f>IF(AND('Mapa final'!#REF!="Muy Baja",'Mapa final'!#REF!="Mayor"),CONCATENATE("R7C",'Mapa final'!#REF!),"")</f>
        <v>#REF!</v>
      </c>
      <c r="AD52" s="53" t="e">
        <f>IF(AND('Mapa final'!#REF!="Muy Baja",'Mapa final'!#REF!="Mayor"),CONCATENATE("R7C",'Mapa final'!#REF!),"")</f>
        <v>#REF!</v>
      </c>
      <c r="AE52" s="53" t="e">
        <f>IF(AND('Mapa final'!#REF!="Muy Baja",'Mapa final'!#REF!="Mayor"),CONCATENATE("R7C",'Mapa final'!#REF!),"")</f>
        <v>#REF!</v>
      </c>
      <c r="AF52" s="53" t="e">
        <f>IF(AND('Mapa final'!#REF!="Muy Baja",'Mapa final'!#REF!="Mayor"),CONCATENATE("R7C",'Mapa final'!#REF!),"")</f>
        <v>#REF!</v>
      </c>
      <c r="AG52" s="54" t="e">
        <f>IF(AND('Mapa final'!#REF!="Muy Baja",'Mapa final'!#REF!="Mayor"),CONCATENATE("R7C",'Mapa final'!#REF!),"")</f>
        <v>#REF!</v>
      </c>
      <c r="AH52" s="55" t="str">
        <f>IF(AND('Mapa final'!$Y$16="Muy Baja",'Mapa final'!$AA$16="Catastrófico"),CONCATENATE("R7C",'Mapa final'!$O$16),"")</f>
        <v/>
      </c>
      <c r="AI52" s="56" t="e">
        <f>IF(AND('Mapa final'!#REF!="Muy Baja",'Mapa final'!#REF!="Catastrófico"),CONCATENATE("R7C",'Mapa final'!#REF!),"")</f>
        <v>#REF!</v>
      </c>
      <c r="AJ52" s="56" t="e">
        <f>IF(AND('Mapa final'!#REF!="Muy Baja",'Mapa final'!#REF!="Catastrófico"),CONCATENATE("R7C",'Mapa final'!#REF!),"")</f>
        <v>#REF!</v>
      </c>
      <c r="AK52" s="56" t="e">
        <f>IF(AND('Mapa final'!#REF!="Muy Baja",'Mapa final'!#REF!="Catastrófico"),CONCATENATE("R7C",'Mapa final'!#REF!),"")</f>
        <v>#REF!</v>
      </c>
      <c r="AL52" s="56" t="e">
        <f>IF(AND('Mapa final'!#REF!="Muy Baja",'Mapa final'!#REF!="Catastrófico"),CONCATENATE("R7C",'Mapa final'!#REF!),"")</f>
        <v>#REF!</v>
      </c>
      <c r="AM52" s="57" t="e">
        <f>IF(AND('Mapa final'!#REF!="Muy Baja",'Mapa final'!#REF!="Catastrófico"),CONCATENATE("R7C",'Mapa final'!#REF!),"")</f>
        <v>#REF!</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5">
      <c r="A53" s="83"/>
      <c r="B53" s="299"/>
      <c r="C53" s="299"/>
      <c r="D53" s="300"/>
      <c r="E53" s="340"/>
      <c r="F53" s="341"/>
      <c r="G53" s="341"/>
      <c r="H53" s="341"/>
      <c r="I53" s="342"/>
      <c r="J53" s="76" t="str">
        <f>IF(AND('Mapa final'!$Y$17="Muy Baja",'Mapa final'!$AA$17="Leve"),CONCATENATE("R8C",'Mapa final'!$O$17),"")</f>
        <v/>
      </c>
      <c r="K53" s="77" t="str">
        <f>IF(AND('Mapa final'!$Y$18="Muy Baja",'Mapa final'!$AA$18="Leve"),CONCATENATE("R8C",'Mapa final'!$O$18),"")</f>
        <v/>
      </c>
      <c r="L53" s="77" t="str">
        <f>IF(AND('Mapa final'!$Y$19="Muy Baja",'Mapa final'!$AA$19="Leve"),CONCATENATE("R8C",'Mapa final'!$O$19),"")</f>
        <v/>
      </c>
      <c r="M53" s="77" t="str">
        <f>IF(AND('Mapa final'!$Y$20="Muy Baja",'Mapa final'!$AA$20="Leve"),CONCATENATE("R8C",'Mapa final'!$O$20),"")</f>
        <v/>
      </c>
      <c r="N53" s="77" t="str">
        <f>IF(AND('Mapa final'!$Y$21="Muy Baja",'Mapa final'!$AA$21="Leve"),CONCATENATE("R8C",'Mapa final'!$O$21),"")</f>
        <v/>
      </c>
      <c r="O53" s="78" t="str">
        <f>IF(AND('Mapa final'!$Y$22="Muy Baja",'Mapa final'!$AA$22="Leve"),CONCATENATE("R8C",'Mapa final'!$O$22),"")</f>
        <v/>
      </c>
      <c r="P53" s="76" t="str">
        <f>IF(AND('Mapa final'!$Y$17="Muy Baja",'Mapa final'!$AA$17="Menor"),CONCATENATE("R8C",'Mapa final'!$O$17),"")</f>
        <v/>
      </c>
      <c r="Q53" s="77" t="str">
        <f>IF(AND('Mapa final'!$Y$18="Muy Baja",'Mapa final'!$AA$18="Menor"),CONCATENATE("R8C",'Mapa final'!$O$18),"")</f>
        <v/>
      </c>
      <c r="R53" s="77" t="str">
        <f>IF(AND('Mapa final'!$Y$19="Muy Baja",'Mapa final'!$AA$19="Menor"),CONCATENATE("R8C",'Mapa final'!$O$19),"")</f>
        <v/>
      </c>
      <c r="S53" s="77" t="str">
        <f>IF(AND('Mapa final'!$Y$20="Muy Baja",'Mapa final'!$AA$20="Menor"),CONCATENATE("R8C",'Mapa final'!$O$20),"")</f>
        <v/>
      </c>
      <c r="T53" s="77" t="str">
        <f>IF(AND('Mapa final'!$Y$21="Muy Baja",'Mapa final'!$AA$21="Menor"),CONCATENATE("R8C",'Mapa final'!$O$21),"")</f>
        <v/>
      </c>
      <c r="U53" s="78" t="str">
        <f>IF(AND('Mapa final'!$Y$22="Muy Baja",'Mapa final'!$AA$22="Menor"),CONCATENATE("R8C",'Mapa final'!$O$22),"")</f>
        <v/>
      </c>
      <c r="V53" s="67" t="str">
        <f>IF(AND('Mapa final'!$Y$17="Muy Baja",'Mapa final'!$AA$17="Moderado"),CONCATENATE("R8C",'Mapa final'!$O$17),"")</f>
        <v/>
      </c>
      <c r="W53" s="68" t="str">
        <f>IF(AND('Mapa final'!$Y$18="Muy Baja",'Mapa final'!$AA$18="Moderado"),CONCATENATE("R8C",'Mapa final'!$O$18),"")</f>
        <v/>
      </c>
      <c r="X53" s="68" t="str">
        <f>IF(AND('Mapa final'!$Y$19="Muy Baja",'Mapa final'!$AA$19="Moderado"),CONCATENATE("R8C",'Mapa final'!$O$19),"")</f>
        <v/>
      </c>
      <c r="Y53" s="68" t="str">
        <f>IF(AND('Mapa final'!$Y$20="Muy Baja",'Mapa final'!$AA$20="Moderado"),CONCATENATE("R8C",'Mapa final'!$O$20),"")</f>
        <v/>
      </c>
      <c r="Z53" s="68" t="str">
        <f>IF(AND('Mapa final'!$Y$21="Muy Baja",'Mapa final'!$AA$21="Moderado"),CONCATENATE("R8C",'Mapa final'!$O$21),"")</f>
        <v/>
      </c>
      <c r="AA53" s="69" t="str">
        <f>IF(AND('Mapa final'!$Y$22="Muy Baja",'Mapa final'!$AA$22="Moderado"),CONCATENATE("R8C",'Mapa final'!$O$22),"")</f>
        <v/>
      </c>
      <c r="AB53" s="52" t="str">
        <f>IF(AND('Mapa final'!$Y$17="Muy Baja",'Mapa final'!$AA$17="Mayor"),CONCATENATE("R8C",'Mapa final'!$O$17),"")</f>
        <v/>
      </c>
      <c r="AC53" s="53" t="str">
        <f>IF(AND('Mapa final'!$Y$18="Muy Baja",'Mapa final'!$AA$18="Mayor"),CONCATENATE("R8C",'Mapa final'!$O$18),"")</f>
        <v/>
      </c>
      <c r="AD53" s="53" t="str">
        <f>IF(AND('Mapa final'!$Y$19="Muy Baja",'Mapa final'!$AA$19="Mayor"),CONCATENATE("R8C",'Mapa final'!$O$19),"")</f>
        <v/>
      </c>
      <c r="AE53" s="53" t="str">
        <f>IF(AND('Mapa final'!$Y$20="Muy Baja",'Mapa final'!$AA$20="Mayor"),CONCATENATE("R8C",'Mapa final'!$O$20),"")</f>
        <v/>
      </c>
      <c r="AF53" s="53" t="str">
        <f>IF(AND('Mapa final'!$Y$21="Muy Baja",'Mapa final'!$AA$21="Mayor"),CONCATENATE("R8C",'Mapa final'!$O$21),"")</f>
        <v/>
      </c>
      <c r="AG53" s="54" t="str">
        <f>IF(AND('Mapa final'!$Y$22="Muy Baja",'Mapa final'!$AA$22="Mayor"),CONCATENATE("R8C",'Mapa final'!$O$22),"")</f>
        <v/>
      </c>
      <c r="AH53" s="55" t="str">
        <f>IF(AND('Mapa final'!$Y$17="Muy Baja",'Mapa final'!$AA$17="Catastrófico"),CONCATENATE("R8C",'Mapa final'!$O$17),"")</f>
        <v/>
      </c>
      <c r="AI53" s="56" t="str">
        <f>IF(AND('Mapa final'!$Y$18="Muy Baja",'Mapa final'!$AA$18="Catastrófico"),CONCATENATE("R8C",'Mapa final'!$O$18),"")</f>
        <v/>
      </c>
      <c r="AJ53" s="56" t="str">
        <f>IF(AND('Mapa final'!$Y$19="Muy Baja",'Mapa final'!$AA$19="Catastrófico"),CONCATENATE("R8C",'Mapa final'!$O$19),"")</f>
        <v/>
      </c>
      <c r="AK53" s="56" t="str">
        <f>IF(AND('Mapa final'!$Y$20="Muy Baja",'Mapa final'!$AA$20="Catastrófico"),CONCATENATE("R8C",'Mapa final'!$O$20),"")</f>
        <v/>
      </c>
      <c r="AL53" s="56" t="str">
        <f>IF(AND('Mapa final'!$Y$21="Muy Baja",'Mapa final'!$AA$21="Catastrófico"),CONCATENATE("R8C",'Mapa final'!$O$21),"")</f>
        <v/>
      </c>
      <c r="AM53" s="57" t="str">
        <f>IF(AND('Mapa final'!$Y$22="Muy Baja",'Mapa final'!$AA$22="Catastrófico"),CONCATENATE("R8C",'Mapa final'!$O$22),"")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5">
      <c r="A54" s="83"/>
      <c r="B54" s="299"/>
      <c r="C54" s="299"/>
      <c r="D54" s="300"/>
      <c r="E54" s="340"/>
      <c r="F54" s="341"/>
      <c r="G54" s="341"/>
      <c r="H54" s="341"/>
      <c r="I54" s="342"/>
      <c r="J54" s="76" t="str">
        <f>IF(AND('Mapa final'!$Y$23="Muy Baja",'Mapa final'!$AA$23="Leve"),CONCATENATE("R9C",'Mapa final'!$O$23),"")</f>
        <v/>
      </c>
      <c r="K54" s="77" t="str">
        <f>IF(AND('Mapa final'!$Y$24="Muy Baja",'Mapa final'!$AA$24="Leve"),CONCATENATE("R9C",'Mapa final'!$O$24),"")</f>
        <v/>
      </c>
      <c r="L54" s="77" t="str">
        <f>IF(AND('Mapa final'!$Y$25="Muy Baja",'Mapa final'!$AA$25="Leve"),CONCATENATE("R9C",'Mapa final'!$O$25),"")</f>
        <v/>
      </c>
      <c r="M54" s="77" t="str">
        <f>IF(AND('Mapa final'!$Y$26="Muy Baja",'Mapa final'!$AA$26="Leve"),CONCATENATE("R9C",'Mapa final'!$O$26),"")</f>
        <v/>
      </c>
      <c r="N54" s="77" t="str">
        <f>IF(AND('Mapa final'!$Y$27="Muy Baja",'Mapa final'!$AA$27="Leve"),CONCATENATE("R9C",'Mapa final'!$O$27),"")</f>
        <v/>
      </c>
      <c r="O54" s="78" t="str">
        <f>IF(AND('Mapa final'!$Y$28="Muy Baja",'Mapa final'!$AA$28="Leve"),CONCATENATE("R9C",'Mapa final'!$O$28),"")</f>
        <v/>
      </c>
      <c r="P54" s="76" t="str">
        <f>IF(AND('Mapa final'!$Y$23="Muy Baja",'Mapa final'!$AA$23="Menor"),CONCATENATE("R9C",'Mapa final'!$O$23),"")</f>
        <v/>
      </c>
      <c r="Q54" s="77" t="str">
        <f>IF(AND('Mapa final'!$Y$24="Muy Baja",'Mapa final'!$AA$24="Menor"),CONCATENATE("R9C",'Mapa final'!$O$24),"")</f>
        <v/>
      </c>
      <c r="R54" s="77" t="str">
        <f>IF(AND('Mapa final'!$Y$25="Muy Baja",'Mapa final'!$AA$25="Menor"),CONCATENATE("R9C",'Mapa final'!$O$25),"")</f>
        <v/>
      </c>
      <c r="S54" s="77" t="str">
        <f>IF(AND('Mapa final'!$Y$26="Muy Baja",'Mapa final'!$AA$26="Menor"),CONCATENATE("R9C",'Mapa final'!$O$26),"")</f>
        <v/>
      </c>
      <c r="T54" s="77" t="str">
        <f>IF(AND('Mapa final'!$Y$27="Muy Baja",'Mapa final'!$AA$27="Menor"),CONCATENATE("R9C",'Mapa final'!$O$27),"")</f>
        <v/>
      </c>
      <c r="U54" s="78" t="str">
        <f>IF(AND('Mapa final'!$Y$28="Muy Baja",'Mapa final'!$AA$28="Menor"),CONCATENATE("R9C",'Mapa final'!$O$28),"")</f>
        <v/>
      </c>
      <c r="V54" s="67" t="str">
        <f>IF(AND('Mapa final'!$Y$23="Muy Baja",'Mapa final'!$AA$23="Moderado"),CONCATENATE("R9C",'Mapa final'!$O$23),"")</f>
        <v/>
      </c>
      <c r="W54" s="68" t="str">
        <f>IF(AND('Mapa final'!$Y$24="Muy Baja",'Mapa final'!$AA$24="Moderado"),CONCATENATE("R9C",'Mapa final'!$O$24),"")</f>
        <v/>
      </c>
      <c r="X54" s="68" t="str">
        <f>IF(AND('Mapa final'!$Y$25="Muy Baja",'Mapa final'!$AA$25="Moderado"),CONCATENATE("R9C",'Mapa final'!$O$25),"")</f>
        <v/>
      </c>
      <c r="Y54" s="68" t="str">
        <f>IF(AND('Mapa final'!$Y$26="Muy Baja",'Mapa final'!$AA$26="Moderado"),CONCATENATE("R9C",'Mapa final'!$O$26),"")</f>
        <v/>
      </c>
      <c r="Z54" s="68" t="str">
        <f>IF(AND('Mapa final'!$Y$27="Muy Baja",'Mapa final'!$AA$27="Moderado"),CONCATENATE("R9C",'Mapa final'!$O$27),"")</f>
        <v/>
      </c>
      <c r="AA54" s="69" t="str">
        <f>IF(AND('Mapa final'!$Y$28="Muy Baja",'Mapa final'!$AA$28="Moderado"),CONCATENATE("R9C",'Mapa final'!$O$28),"")</f>
        <v/>
      </c>
      <c r="AB54" s="52" t="str">
        <f>IF(AND('Mapa final'!$Y$23="Muy Baja",'Mapa final'!$AA$23="Mayor"),CONCATENATE("R9C",'Mapa final'!$O$23),"")</f>
        <v/>
      </c>
      <c r="AC54" s="53" t="str">
        <f>IF(AND('Mapa final'!$Y$24="Muy Baja",'Mapa final'!$AA$24="Mayor"),CONCATENATE("R9C",'Mapa final'!$O$24),"")</f>
        <v/>
      </c>
      <c r="AD54" s="53" t="str">
        <f>IF(AND('Mapa final'!$Y$25="Muy Baja",'Mapa final'!$AA$25="Mayor"),CONCATENATE("R9C",'Mapa final'!$O$25),"")</f>
        <v/>
      </c>
      <c r="AE54" s="53" t="str">
        <f>IF(AND('Mapa final'!$Y$26="Muy Baja",'Mapa final'!$AA$26="Mayor"),CONCATENATE("R9C",'Mapa final'!$O$26),"")</f>
        <v/>
      </c>
      <c r="AF54" s="53" t="str">
        <f>IF(AND('Mapa final'!$Y$27="Muy Baja",'Mapa final'!$AA$27="Mayor"),CONCATENATE("R9C",'Mapa final'!$O$27),"")</f>
        <v/>
      </c>
      <c r="AG54" s="54" t="str">
        <f>IF(AND('Mapa final'!$Y$28="Muy Baja",'Mapa final'!$AA$28="Mayor"),CONCATENATE("R9C",'Mapa final'!$O$28),"")</f>
        <v/>
      </c>
      <c r="AH54" s="55" t="str">
        <f>IF(AND('Mapa final'!$Y$23="Muy Baja",'Mapa final'!$AA$23="Catastrófico"),CONCATENATE("R9C",'Mapa final'!$O$23),"")</f>
        <v/>
      </c>
      <c r="AI54" s="56" t="str">
        <f>IF(AND('Mapa final'!$Y$24="Muy Baja",'Mapa final'!$AA$24="Catastrófico"),CONCATENATE("R9C",'Mapa final'!$O$24),"")</f>
        <v/>
      </c>
      <c r="AJ54" s="56" t="str">
        <f>IF(AND('Mapa final'!$Y$25="Muy Baja",'Mapa final'!$AA$25="Catastrófico"),CONCATENATE("R9C",'Mapa final'!$O$25),"")</f>
        <v/>
      </c>
      <c r="AK54" s="56" t="str">
        <f>IF(AND('Mapa final'!$Y$26="Muy Baja",'Mapa final'!$AA$26="Catastrófico"),CONCATENATE("R9C",'Mapa final'!$O$26),"")</f>
        <v/>
      </c>
      <c r="AL54" s="56" t="str">
        <f>IF(AND('Mapa final'!$Y$27="Muy Baja",'Mapa final'!$AA$27="Catastrófico"),CONCATENATE("R9C",'Mapa final'!$O$27),"")</f>
        <v/>
      </c>
      <c r="AM54" s="57" t="str">
        <f>IF(AND('Mapa final'!$Y$28="Muy Baja",'Mapa final'!$AA$28="Catastrófico"),CONCATENATE("R9C",'Mapa final'!$O$28),"")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4">
      <c r="A55" s="83"/>
      <c r="B55" s="299"/>
      <c r="C55" s="299"/>
      <c r="D55" s="300"/>
      <c r="E55" s="343"/>
      <c r="F55" s="344"/>
      <c r="G55" s="344"/>
      <c r="H55" s="344"/>
      <c r="I55" s="345"/>
      <c r="J55" s="79" t="str">
        <f>IF(AND('Mapa final'!$Y$29="Muy Baja",'Mapa final'!$AA$29="Leve"),CONCATENATE("R10C",'Mapa final'!$O$29),"")</f>
        <v/>
      </c>
      <c r="K55" s="80" t="str">
        <f>IF(AND('Mapa final'!$Y$30="Muy Baja",'Mapa final'!$AA$30="Leve"),CONCATENATE("R10C",'Mapa final'!$O$30),"")</f>
        <v/>
      </c>
      <c r="L55" s="80" t="str">
        <f>IF(AND('Mapa final'!$Y$31="Muy Baja",'Mapa final'!$AA$31="Leve"),CONCATENATE("R10C",'Mapa final'!$O$31),"")</f>
        <v/>
      </c>
      <c r="M55" s="80" t="str">
        <f>IF(AND('Mapa final'!$Y$32="Muy Baja",'Mapa final'!$AA$32="Leve"),CONCATENATE("R10C",'Mapa final'!$O$32),"")</f>
        <v/>
      </c>
      <c r="N55" s="80" t="str">
        <f>IF(AND('Mapa final'!$Y$33="Muy Baja",'Mapa final'!$AA$33="Leve"),CONCATENATE("R10C",'Mapa final'!$O$33),"")</f>
        <v/>
      </c>
      <c r="O55" s="81" t="str">
        <f>IF(AND('Mapa final'!$Y$34="Muy Baja",'Mapa final'!$AA$34="Leve"),CONCATENATE("R10C",'Mapa final'!$O$34),"")</f>
        <v/>
      </c>
      <c r="P55" s="79" t="str">
        <f>IF(AND('Mapa final'!$Y$29="Muy Baja",'Mapa final'!$AA$29="Menor"),CONCATENATE("R10C",'Mapa final'!$O$29),"")</f>
        <v/>
      </c>
      <c r="Q55" s="80" t="str">
        <f>IF(AND('Mapa final'!$Y$30="Muy Baja",'Mapa final'!$AA$30="Menor"),CONCATENATE("R10C",'Mapa final'!$O$30),"")</f>
        <v/>
      </c>
      <c r="R55" s="80" t="str">
        <f>IF(AND('Mapa final'!$Y$31="Muy Baja",'Mapa final'!$AA$31="Menor"),CONCATENATE("R10C",'Mapa final'!$O$31),"")</f>
        <v/>
      </c>
      <c r="S55" s="80" t="str">
        <f>IF(AND('Mapa final'!$Y$32="Muy Baja",'Mapa final'!$AA$32="Menor"),CONCATENATE("R10C",'Mapa final'!$O$32),"")</f>
        <v/>
      </c>
      <c r="T55" s="80" t="str">
        <f>IF(AND('Mapa final'!$Y$33="Muy Baja",'Mapa final'!$AA$33="Menor"),CONCATENATE("R10C",'Mapa final'!$O$33),"")</f>
        <v/>
      </c>
      <c r="U55" s="81" t="str">
        <f>IF(AND('Mapa final'!$Y$34="Muy Baja",'Mapa final'!$AA$34="Menor"),CONCATENATE("R10C",'Mapa final'!$O$34),"")</f>
        <v/>
      </c>
      <c r="V55" s="70" t="str">
        <f>IF(AND('Mapa final'!$Y$29="Muy Baja",'Mapa final'!$AA$29="Moderado"),CONCATENATE("R10C",'Mapa final'!$O$29),"")</f>
        <v/>
      </c>
      <c r="W55" s="71" t="str">
        <f>IF(AND('Mapa final'!$Y$30="Muy Baja",'Mapa final'!$AA$30="Moderado"),CONCATENATE("R10C",'Mapa final'!$O$30),"")</f>
        <v/>
      </c>
      <c r="X55" s="71" t="str">
        <f>IF(AND('Mapa final'!$Y$31="Muy Baja",'Mapa final'!$AA$31="Moderado"),CONCATENATE("R10C",'Mapa final'!$O$31),"")</f>
        <v/>
      </c>
      <c r="Y55" s="71" t="str">
        <f>IF(AND('Mapa final'!$Y$32="Muy Baja",'Mapa final'!$AA$32="Moderado"),CONCATENATE("R10C",'Mapa final'!$O$32),"")</f>
        <v/>
      </c>
      <c r="Z55" s="71" t="str">
        <f>IF(AND('Mapa final'!$Y$33="Muy Baja",'Mapa final'!$AA$33="Moderado"),CONCATENATE("R10C",'Mapa final'!$O$33),"")</f>
        <v/>
      </c>
      <c r="AA55" s="72" t="str">
        <f>IF(AND('Mapa final'!$Y$34="Muy Baja",'Mapa final'!$AA$34="Moderado"),CONCATENATE("R10C",'Mapa final'!$O$34),"")</f>
        <v/>
      </c>
      <c r="AB55" s="58" t="str">
        <f>IF(AND('Mapa final'!$Y$29="Muy Baja",'Mapa final'!$AA$29="Mayor"),CONCATENATE("R10C",'Mapa final'!$O$29),"")</f>
        <v/>
      </c>
      <c r="AC55" s="59" t="str">
        <f>IF(AND('Mapa final'!$Y$30="Muy Baja",'Mapa final'!$AA$30="Mayor"),CONCATENATE("R10C",'Mapa final'!$O$30),"")</f>
        <v/>
      </c>
      <c r="AD55" s="59" t="str">
        <f>IF(AND('Mapa final'!$Y$31="Muy Baja",'Mapa final'!$AA$31="Mayor"),CONCATENATE("R10C",'Mapa final'!$O$31),"")</f>
        <v/>
      </c>
      <c r="AE55" s="59" t="str">
        <f>IF(AND('Mapa final'!$Y$32="Muy Baja",'Mapa final'!$AA$32="Mayor"),CONCATENATE("R10C",'Mapa final'!$O$32),"")</f>
        <v/>
      </c>
      <c r="AF55" s="59" t="str">
        <f>IF(AND('Mapa final'!$Y$33="Muy Baja",'Mapa final'!$AA$33="Mayor"),CONCATENATE("R10C",'Mapa final'!$O$33),"")</f>
        <v/>
      </c>
      <c r="AG55" s="60" t="str">
        <f>IF(AND('Mapa final'!$Y$34="Muy Baja",'Mapa final'!$AA$34="Mayor"),CONCATENATE("R10C",'Mapa final'!$O$34),"")</f>
        <v/>
      </c>
      <c r="AH55" s="61" t="str">
        <f>IF(AND('Mapa final'!$Y$29="Muy Baja",'Mapa final'!$AA$29="Catastrófico"),CONCATENATE("R10C",'Mapa final'!$O$29),"")</f>
        <v/>
      </c>
      <c r="AI55" s="62" t="str">
        <f>IF(AND('Mapa final'!$Y$30="Muy Baja",'Mapa final'!$AA$30="Catastrófico"),CONCATENATE("R10C",'Mapa final'!$O$30),"")</f>
        <v/>
      </c>
      <c r="AJ55" s="62" t="str">
        <f>IF(AND('Mapa final'!$Y$31="Muy Baja",'Mapa final'!$AA$31="Catastrófico"),CONCATENATE("R10C",'Mapa final'!$O$31),"")</f>
        <v/>
      </c>
      <c r="AK55" s="62" t="str">
        <f>IF(AND('Mapa final'!$Y$32="Muy Baja",'Mapa final'!$AA$32="Catastrófico"),CONCATENATE("R10C",'Mapa final'!$O$32),"")</f>
        <v/>
      </c>
      <c r="AL55" s="62" t="str">
        <f>IF(AND('Mapa final'!$Y$33="Muy Baja",'Mapa final'!$AA$33="Catastrófico"),CONCATENATE("R10C",'Mapa final'!$O$33),"")</f>
        <v/>
      </c>
      <c r="AM55" s="63" t="str">
        <f>IF(AND('Mapa final'!$Y$34="Muy Baja",'Mapa final'!$AA$34="Catastrófico"),CONCATENATE("R10C",'Mapa final'!$O$34),"")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5">
      <c r="A56" s="83"/>
      <c r="B56" s="83"/>
      <c r="C56" s="83"/>
      <c r="D56" s="83"/>
      <c r="E56" s="83"/>
      <c r="F56" s="83"/>
      <c r="G56" s="83"/>
      <c r="H56" s="83"/>
      <c r="I56" s="83"/>
      <c r="J56" s="337" t="s">
        <v>112</v>
      </c>
      <c r="K56" s="338"/>
      <c r="L56" s="338"/>
      <c r="M56" s="338"/>
      <c r="N56" s="338"/>
      <c r="O56" s="339"/>
      <c r="P56" s="337" t="s">
        <v>111</v>
      </c>
      <c r="Q56" s="338"/>
      <c r="R56" s="338"/>
      <c r="S56" s="338"/>
      <c r="T56" s="338"/>
      <c r="U56" s="339"/>
      <c r="V56" s="337" t="s">
        <v>110</v>
      </c>
      <c r="W56" s="338"/>
      <c r="X56" s="338"/>
      <c r="Y56" s="338"/>
      <c r="Z56" s="338"/>
      <c r="AA56" s="339"/>
      <c r="AB56" s="337" t="s">
        <v>109</v>
      </c>
      <c r="AC56" s="346"/>
      <c r="AD56" s="338"/>
      <c r="AE56" s="338"/>
      <c r="AF56" s="338"/>
      <c r="AG56" s="339"/>
      <c r="AH56" s="337" t="s">
        <v>108</v>
      </c>
      <c r="AI56" s="338"/>
      <c r="AJ56" s="338"/>
      <c r="AK56" s="338"/>
      <c r="AL56" s="338"/>
      <c r="AM56" s="33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5">
      <c r="A57" s="83"/>
      <c r="B57" s="83"/>
      <c r="C57" s="83"/>
      <c r="D57" s="83"/>
      <c r="E57" s="83"/>
      <c r="F57" s="83"/>
      <c r="G57" s="83"/>
      <c r="H57" s="83"/>
      <c r="I57" s="83"/>
      <c r="J57" s="340"/>
      <c r="K57" s="341"/>
      <c r="L57" s="341"/>
      <c r="M57" s="341"/>
      <c r="N57" s="341"/>
      <c r="O57" s="342"/>
      <c r="P57" s="340"/>
      <c r="Q57" s="341"/>
      <c r="R57" s="341"/>
      <c r="S57" s="341"/>
      <c r="T57" s="341"/>
      <c r="U57" s="342"/>
      <c r="V57" s="340"/>
      <c r="W57" s="341"/>
      <c r="X57" s="341"/>
      <c r="Y57" s="341"/>
      <c r="Z57" s="341"/>
      <c r="AA57" s="342"/>
      <c r="AB57" s="340"/>
      <c r="AC57" s="341"/>
      <c r="AD57" s="341"/>
      <c r="AE57" s="341"/>
      <c r="AF57" s="341"/>
      <c r="AG57" s="342"/>
      <c r="AH57" s="340"/>
      <c r="AI57" s="341"/>
      <c r="AJ57" s="341"/>
      <c r="AK57" s="341"/>
      <c r="AL57" s="341"/>
      <c r="AM57" s="34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5">
      <c r="A58" s="83"/>
      <c r="B58" s="83"/>
      <c r="C58" s="83"/>
      <c r="D58" s="83"/>
      <c r="E58" s="83"/>
      <c r="F58" s="83"/>
      <c r="G58" s="83"/>
      <c r="H58" s="83"/>
      <c r="I58" s="83"/>
      <c r="J58" s="340"/>
      <c r="K58" s="341"/>
      <c r="L58" s="341"/>
      <c r="M58" s="341"/>
      <c r="N58" s="341"/>
      <c r="O58" s="342"/>
      <c r="P58" s="340"/>
      <c r="Q58" s="341"/>
      <c r="R58" s="341"/>
      <c r="S58" s="341"/>
      <c r="T58" s="341"/>
      <c r="U58" s="342"/>
      <c r="V58" s="340"/>
      <c r="W58" s="341"/>
      <c r="X58" s="341"/>
      <c r="Y58" s="341"/>
      <c r="Z58" s="341"/>
      <c r="AA58" s="342"/>
      <c r="AB58" s="340"/>
      <c r="AC58" s="341"/>
      <c r="AD58" s="341"/>
      <c r="AE58" s="341"/>
      <c r="AF58" s="341"/>
      <c r="AG58" s="342"/>
      <c r="AH58" s="340"/>
      <c r="AI58" s="341"/>
      <c r="AJ58" s="341"/>
      <c r="AK58" s="341"/>
      <c r="AL58" s="341"/>
      <c r="AM58" s="34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5">
      <c r="A59" s="83"/>
      <c r="B59" s="83"/>
      <c r="C59" s="83"/>
      <c r="D59" s="83"/>
      <c r="E59" s="83"/>
      <c r="F59" s="83"/>
      <c r="G59" s="83"/>
      <c r="H59" s="83"/>
      <c r="I59" s="83"/>
      <c r="J59" s="340"/>
      <c r="K59" s="341"/>
      <c r="L59" s="341"/>
      <c r="M59" s="341"/>
      <c r="N59" s="341"/>
      <c r="O59" s="342"/>
      <c r="P59" s="340"/>
      <c r="Q59" s="341"/>
      <c r="R59" s="341"/>
      <c r="S59" s="341"/>
      <c r="T59" s="341"/>
      <c r="U59" s="342"/>
      <c r="V59" s="340"/>
      <c r="W59" s="341"/>
      <c r="X59" s="341"/>
      <c r="Y59" s="341"/>
      <c r="Z59" s="341"/>
      <c r="AA59" s="342"/>
      <c r="AB59" s="340"/>
      <c r="AC59" s="341"/>
      <c r="AD59" s="341"/>
      <c r="AE59" s="341"/>
      <c r="AF59" s="341"/>
      <c r="AG59" s="342"/>
      <c r="AH59" s="340"/>
      <c r="AI59" s="341"/>
      <c r="AJ59" s="341"/>
      <c r="AK59" s="341"/>
      <c r="AL59" s="341"/>
      <c r="AM59" s="34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5">
      <c r="A60" s="83"/>
      <c r="B60" s="83"/>
      <c r="C60" s="83"/>
      <c r="D60" s="83"/>
      <c r="E60" s="83"/>
      <c r="F60" s="83"/>
      <c r="G60" s="83"/>
      <c r="H60" s="83"/>
      <c r="I60" s="83"/>
      <c r="J60" s="340"/>
      <c r="K60" s="341"/>
      <c r="L60" s="341"/>
      <c r="M60" s="341"/>
      <c r="N60" s="341"/>
      <c r="O60" s="342"/>
      <c r="P60" s="340"/>
      <c r="Q60" s="341"/>
      <c r="R60" s="341"/>
      <c r="S60" s="341"/>
      <c r="T60" s="341"/>
      <c r="U60" s="342"/>
      <c r="V60" s="340"/>
      <c r="W60" s="341"/>
      <c r="X60" s="341"/>
      <c r="Y60" s="341"/>
      <c r="Z60" s="341"/>
      <c r="AA60" s="342"/>
      <c r="AB60" s="340"/>
      <c r="AC60" s="341"/>
      <c r="AD60" s="341"/>
      <c r="AE60" s="341"/>
      <c r="AF60" s="341"/>
      <c r="AG60" s="342"/>
      <c r="AH60" s="340"/>
      <c r="AI60" s="341"/>
      <c r="AJ60" s="341"/>
      <c r="AK60" s="341"/>
      <c r="AL60" s="341"/>
      <c r="AM60" s="34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 thickBot="1" x14ac:dyDescent="0.4">
      <c r="A61" s="83"/>
      <c r="B61" s="83"/>
      <c r="C61" s="83"/>
      <c r="D61" s="83"/>
      <c r="E61" s="83"/>
      <c r="F61" s="83"/>
      <c r="G61" s="83"/>
      <c r="H61" s="83"/>
      <c r="I61" s="83"/>
      <c r="J61" s="343"/>
      <c r="K61" s="344"/>
      <c r="L61" s="344"/>
      <c r="M61" s="344"/>
      <c r="N61" s="344"/>
      <c r="O61" s="345"/>
      <c r="P61" s="343"/>
      <c r="Q61" s="344"/>
      <c r="R61" s="344"/>
      <c r="S61" s="344"/>
      <c r="T61" s="344"/>
      <c r="U61" s="345"/>
      <c r="V61" s="343"/>
      <c r="W61" s="344"/>
      <c r="X61" s="344"/>
      <c r="Y61" s="344"/>
      <c r="Z61" s="344"/>
      <c r="AA61" s="345"/>
      <c r="AB61" s="343"/>
      <c r="AC61" s="344"/>
      <c r="AD61" s="344"/>
      <c r="AE61" s="344"/>
      <c r="AF61" s="344"/>
      <c r="AG61" s="345"/>
      <c r="AH61" s="343"/>
      <c r="AI61" s="344"/>
      <c r="AJ61" s="344"/>
      <c r="AK61" s="344"/>
      <c r="AL61" s="344"/>
      <c r="AM61" s="345"/>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3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3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3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3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3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3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3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3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3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3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3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3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3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3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3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3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3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3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3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3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3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3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3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3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3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3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3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3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3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3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3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3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3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3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3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3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3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3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3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3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3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3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3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3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3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3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3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3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3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3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3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3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3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3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3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3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3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3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3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3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3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3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3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3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3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3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3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3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3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3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3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3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3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3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3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3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3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3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3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3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3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3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3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3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3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3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3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3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3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3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3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3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3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3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3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3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3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3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3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3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3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3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3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3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3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3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3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3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3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3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3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3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3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3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3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3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3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3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3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3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3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3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3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3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3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3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3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3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3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3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3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3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3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3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3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3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3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3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3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3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3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3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3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3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3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3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3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3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3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3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3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3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3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3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3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3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3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3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3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3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3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3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3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3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3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3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3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3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3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3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3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3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3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3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3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3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3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3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3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3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3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3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35">
      <c r="A245" s="83"/>
    </row>
    <row r="246" spans="1:60" x14ac:dyDescent="0.35">
      <c r="A246" s="83"/>
    </row>
    <row r="247" spans="1:60" x14ac:dyDescent="0.35">
      <c r="A247" s="83"/>
    </row>
    <row r="248" spans="1:60" x14ac:dyDescent="0.3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83"/>
      <c r="B1" s="386" t="s">
        <v>55</v>
      </c>
      <c r="C1" s="386"/>
      <c r="D1" s="386"/>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3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 x14ac:dyDescent="0.3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0" x14ac:dyDescent="0.3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0" x14ac:dyDescent="0.3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0" x14ac:dyDescent="0.3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5" x14ac:dyDescent="0.3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0" x14ac:dyDescent="0.3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3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x14ac:dyDescent="0.3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3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3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3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3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3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3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3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3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3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3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3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3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3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3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3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3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3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3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3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3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3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3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3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3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35">
      <c r="A35" s="83"/>
    </row>
    <row r="36" spans="1:31" x14ac:dyDescent="0.35">
      <c r="A36" s="83"/>
    </row>
    <row r="37" spans="1:31" x14ac:dyDescent="0.35">
      <c r="A37" s="83"/>
    </row>
    <row r="38" spans="1:31" x14ac:dyDescent="0.35">
      <c r="A38" s="83"/>
    </row>
    <row r="39" spans="1:31" x14ac:dyDescent="0.35">
      <c r="A39" s="83"/>
    </row>
    <row r="40" spans="1:31" x14ac:dyDescent="0.35">
      <c r="A40" s="83"/>
    </row>
    <row r="41" spans="1:31" x14ac:dyDescent="0.35">
      <c r="A41" s="83"/>
    </row>
    <row r="42" spans="1:31" x14ac:dyDescent="0.35">
      <c r="A42" s="83"/>
    </row>
    <row r="43" spans="1:31" x14ac:dyDescent="0.35">
      <c r="A43" s="83"/>
    </row>
    <row r="44" spans="1:31" x14ac:dyDescent="0.35">
      <c r="A44" s="83"/>
    </row>
    <row r="45" spans="1:31" x14ac:dyDescent="0.35">
      <c r="A45" s="83"/>
    </row>
    <row r="46" spans="1:31" x14ac:dyDescent="0.35">
      <c r="A46" s="83"/>
    </row>
    <row r="47" spans="1:31" x14ac:dyDescent="0.35">
      <c r="A47" s="83"/>
    </row>
    <row r="48" spans="1:31" x14ac:dyDescent="0.35">
      <c r="A48" s="83"/>
    </row>
    <row r="49" spans="1:1" x14ac:dyDescent="0.35">
      <c r="A49" s="83"/>
    </row>
    <row r="50" spans="1:1" x14ac:dyDescent="0.35">
      <c r="A50" s="83"/>
    </row>
    <row r="51" spans="1:1" x14ac:dyDescent="0.35">
      <c r="A51" s="83"/>
    </row>
    <row r="52" spans="1:1" x14ac:dyDescent="0.35">
      <c r="A52" s="83"/>
    </row>
    <row r="53" spans="1:1" x14ac:dyDescent="0.35">
      <c r="A53" s="83"/>
    </row>
    <row r="54" spans="1:1" x14ac:dyDescent="0.35">
      <c r="A54" s="83"/>
    </row>
    <row r="55" spans="1:1" x14ac:dyDescent="0.3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6" sqref="C6"/>
    </sheetView>
  </sheetViews>
  <sheetFormatPr baseColWidth="10" defaultRowHeight="14.5" x14ac:dyDescent="0.35"/>
  <cols>
    <col min="2" max="2" width="40.36328125" customWidth="1"/>
    <col min="3" max="3" width="74.81640625" customWidth="1"/>
    <col min="4" max="4" width="135" bestFit="1" customWidth="1"/>
    <col min="5" max="5" width="144.7265625" bestFit="1" customWidth="1"/>
  </cols>
  <sheetData>
    <row r="1" spans="1:21" ht="32.5" x14ac:dyDescent="0.35">
      <c r="A1" s="83"/>
      <c r="B1" s="387" t="s">
        <v>63</v>
      </c>
      <c r="C1" s="387"/>
      <c r="D1" s="387"/>
      <c r="E1" s="83"/>
      <c r="F1" s="83"/>
      <c r="G1" s="83"/>
      <c r="H1" s="83"/>
      <c r="I1" s="83"/>
      <c r="J1" s="83"/>
      <c r="K1" s="83"/>
      <c r="L1" s="83"/>
      <c r="M1" s="83"/>
      <c r="N1" s="83"/>
      <c r="O1" s="83"/>
      <c r="P1" s="83"/>
      <c r="Q1" s="83"/>
      <c r="R1" s="83"/>
      <c r="S1" s="83"/>
      <c r="T1" s="83"/>
      <c r="U1" s="83"/>
    </row>
    <row r="2" spans="1:21" x14ac:dyDescent="0.35">
      <c r="A2" s="83"/>
      <c r="B2" s="83"/>
      <c r="C2" s="83"/>
      <c r="D2" s="83"/>
      <c r="E2" s="83"/>
      <c r="F2" s="83"/>
      <c r="G2" s="83"/>
      <c r="H2" s="83"/>
      <c r="I2" s="83"/>
      <c r="J2" s="83"/>
      <c r="K2" s="83"/>
      <c r="L2" s="83"/>
      <c r="M2" s="83"/>
      <c r="N2" s="83"/>
      <c r="O2" s="83"/>
      <c r="P2" s="83"/>
      <c r="Q2" s="83"/>
      <c r="R2" s="83"/>
      <c r="S2" s="83"/>
      <c r="T2" s="83"/>
      <c r="U2" s="83"/>
    </row>
    <row r="3" spans="1:21" ht="30.5" x14ac:dyDescent="0.35">
      <c r="A3" s="83"/>
      <c r="B3" s="104"/>
      <c r="C3" s="36" t="s">
        <v>56</v>
      </c>
      <c r="D3" s="36" t="s">
        <v>57</v>
      </c>
      <c r="E3" s="83"/>
      <c r="F3" s="83"/>
      <c r="G3" s="83"/>
      <c r="H3" s="83"/>
      <c r="I3" s="83"/>
      <c r="J3" s="83"/>
      <c r="K3" s="83"/>
      <c r="L3" s="83"/>
      <c r="M3" s="83"/>
      <c r="N3" s="83"/>
      <c r="O3" s="83"/>
      <c r="P3" s="83"/>
      <c r="Q3" s="83"/>
      <c r="R3" s="83"/>
      <c r="S3" s="83"/>
      <c r="T3" s="83"/>
      <c r="U3" s="83"/>
    </row>
    <row r="4" spans="1:21" ht="32.5" x14ac:dyDescent="0.35">
      <c r="A4" s="103" t="s">
        <v>83</v>
      </c>
      <c r="B4" s="39" t="s">
        <v>101</v>
      </c>
      <c r="C4" s="44" t="s">
        <v>157</v>
      </c>
      <c r="D4" s="37" t="s">
        <v>97</v>
      </c>
      <c r="E4" s="83"/>
      <c r="F4" s="83"/>
      <c r="G4" s="83"/>
      <c r="H4" s="83"/>
      <c r="I4" s="83"/>
      <c r="J4" s="83"/>
      <c r="K4" s="83"/>
      <c r="L4" s="83"/>
      <c r="M4" s="83"/>
      <c r="N4" s="83"/>
      <c r="O4" s="83"/>
      <c r="P4" s="83"/>
      <c r="Q4" s="83"/>
      <c r="R4" s="83"/>
      <c r="S4" s="83"/>
      <c r="T4" s="83"/>
      <c r="U4" s="83"/>
    </row>
    <row r="5" spans="1:21" ht="65" x14ac:dyDescent="0.35">
      <c r="A5" s="103" t="s">
        <v>84</v>
      </c>
      <c r="B5" s="40" t="s">
        <v>59</v>
      </c>
      <c r="C5" s="45" t="s">
        <v>93</v>
      </c>
      <c r="D5" s="38" t="s">
        <v>98</v>
      </c>
      <c r="E5" s="83"/>
      <c r="F5" s="83"/>
      <c r="G5" s="83"/>
      <c r="H5" s="83"/>
      <c r="I5" s="83"/>
      <c r="J5" s="83"/>
      <c r="K5" s="83"/>
      <c r="L5" s="83"/>
      <c r="M5" s="83"/>
      <c r="N5" s="83"/>
      <c r="O5" s="83"/>
      <c r="P5" s="83"/>
      <c r="Q5" s="83"/>
      <c r="R5" s="83"/>
      <c r="S5" s="83"/>
      <c r="T5" s="83"/>
      <c r="U5" s="83"/>
    </row>
    <row r="6" spans="1:21" ht="65" x14ac:dyDescent="0.35">
      <c r="A6" s="103" t="s">
        <v>81</v>
      </c>
      <c r="B6" s="41" t="s">
        <v>60</v>
      </c>
      <c r="C6" s="45" t="s">
        <v>94</v>
      </c>
      <c r="D6" s="38" t="s">
        <v>100</v>
      </c>
      <c r="E6" s="83"/>
      <c r="F6" s="83"/>
      <c r="G6" s="83"/>
      <c r="H6" s="83"/>
      <c r="I6" s="83"/>
      <c r="J6" s="83"/>
      <c r="K6" s="83"/>
      <c r="L6" s="83"/>
      <c r="M6" s="83"/>
      <c r="N6" s="83"/>
      <c r="O6" s="83"/>
      <c r="P6" s="83"/>
      <c r="Q6" s="83"/>
      <c r="R6" s="83"/>
      <c r="S6" s="83"/>
      <c r="T6" s="83"/>
      <c r="U6" s="83"/>
    </row>
    <row r="7" spans="1:21" ht="65" x14ac:dyDescent="0.35">
      <c r="A7" s="103" t="s">
        <v>7</v>
      </c>
      <c r="B7" s="42" t="s">
        <v>61</v>
      </c>
      <c r="C7" s="45" t="s">
        <v>95</v>
      </c>
      <c r="D7" s="38" t="s">
        <v>99</v>
      </c>
      <c r="E7" s="83"/>
      <c r="F7" s="83"/>
      <c r="G7" s="83"/>
      <c r="H7" s="83"/>
      <c r="I7" s="83"/>
      <c r="J7" s="83"/>
      <c r="K7" s="83"/>
      <c r="L7" s="83"/>
      <c r="M7" s="83"/>
      <c r="N7" s="83"/>
      <c r="O7" s="83"/>
      <c r="P7" s="83"/>
      <c r="Q7" s="83"/>
      <c r="R7" s="83"/>
      <c r="S7" s="83"/>
      <c r="T7" s="83"/>
      <c r="U7" s="83"/>
    </row>
    <row r="8" spans="1:21" ht="65" x14ac:dyDescent="0.35">
      <c r="A8" s="103" t="s">
        <v>85</v>
      </c>
      <c r="B8" s="43" t="s">
        <v>62</v>
      </c>
      <c r="C8" s="45" t="s">
        <v>96</v>
      </c>
      <c r="D8" s="38" t="s">
        <v>118</v>
      </c>
      <c r="E8" s="83"/>
      <c r="F8" s="83"/>
      <c r="G8" s="83"/>
      <c r="H8" s="83"/>
      <c r="I8" s="83"/>
      <c r="J8" s="83"/>
      <c r="K8" s="83"/>
      <c r="L8" s="83"/>
      <c r="M8" s="83"/>
      <c r="N8" s="83"/>
      <c r="O8" s="83"/>
      <c r="P8" s="83"/>
      <c r="Q8" s="83"/>
      <c r="R8" s="83"/>
      <c r="S8" s="83"/>
      <c r="T8" s="83"/>
      <c r="U8" s="83"/>
    </row>
    <row r="9" spans="1:21" ht="20" x14ac:dyDescent="0.35">
      <c r="A9" s="103"/>
      <c r="B9" s="103"/>
      <c r="C9" s="105"/>
      <c r="D9" s="105"/>
      <c r="E9" s="83"/>
      <c r="F9" s="83"/>
      <c r="G9" s="83"/>
      <c r="H9" s="83"/>
      <c r="I9" s="83"/>
      <c r="J9" s="83"/>
      <c r="K9" s="83"/>
      <c r="L9" s="83"/>
      <c r="M9" s="83"/>
      <c r="N9" s="83"/>
      <c r="O9" s="83"/>
      <c r="P9" s="83"/>
      <c r="Q9" s="83"/>
      <c r="R9" s="83"/>
      <c r="S9" s="83"/>
      <c r="T9" s="83"/>
      <c r="U9" s="83"/>
    </row>
    <row r="10" spans="1:21" x14ac:dyDescent="0.35">
      <c r="A10" s="103"/>
      <c r="B10" s="106"/>
      <c r="C10" s="106"/>
      <c r="D10" s="106"/>
      <c r="E10" s="83"/>
      <c r="F10" s="83"/>
      <c r="G10" s="83"/>
      <c r="H10" s="83"/>
      <c r="I10" s="83"/>
      <c r="J10" s="83"/>
      <c r="K10" s="83"/>
      <c r="L10" s="83"/>
      <c r="M10" s="83"/>
      <c r="N10" s="83"/>
      <c r="O10" s="83"/>
      <c r="P10" s="83"/>
      <c r="Q10" s="83"/>
      <c r="R10" s="83"/>
      <c r="S10" s="83"/>
      <c r="T10" s="83"/>
      <c r="U10" s="83"/>
    </row>
    <row r="11" spans="1:21" x14ac:dyDescent="0.35">
      <c r="A11" s="103"/>
      <c r="B11" s="103" t="s">
        <v>91</v>
      </c>
      <c r="C11" s="103" t="s">
        <v>145</v>
      </c>
      <c r="D11" s="103" t="s">
        <v>152</v>
      </c>
      <c r="E11" s="83"/>
      <c r="F11" s="83"/>
      <c r="G11" s="83"/>
      <c r="H11" s="83"/>
      <c r="I11" s="83"/>
      <c r="J11" s="83"/>
      <c r="K11" s="83"/>
      <c r="L11" s="83"/>
      <c r="M11" s="83"/>
      <c r="N11" s="83"/>
      <c r="O11" s="83"/>
      <c r="P11" s="83"/>
      <c r="Q11" s="83"/>
      <c r="R11" s="83"/>
      <c r="S11" s="83"/>
      <c r="T11" s="83"/>
      <c r="U11" s="83"/>
    </row>
    <row r="12" spans="1:21" x14ac:dyDescent="0.35">
      <c r="A12" s="103"/>
      <c r="B12" s="103" t="s">
        <v>89</v>
      </c>
      <c r="C12" s="103" t="s">
        <v>149</v>
      </c>
      <c r="D12" s="103" t="s">
        <v>153</v>
      </c>
      <c r="E12" s="83"/>
      <c r="F12" s="83"/>
      <c r="G12" s="83"/>
      <c r="H12" s="83"/>
      <c r="I12" s="83"/>
      <c r="J12" s="83"/>
      <c r="K12" s="83"/>
      <c r="L12" s="83"/>
      <c r="M12" s="83"/>
      <c r="N12" s="83"/>
      <c r="O12" s="83"/>
      <c r="P12" s="83"/>
      <c r="Q12" s="83"/>
      <c r="R12" s="83"/>
      <c r="S12" s="83"/>
      <c r="T12" s="83"/>
      <c r="U12" s="83"/>
    </row>
    <row r="13" spans="1:21" x14ac:dyDescent="0.35">
      <c r="A13" s="103"/>
      <c r="B13" s="103"/>
      <c r="C13" s="103" t="s">
        <v>148</v>
      </c>
      <c r="D13" s="103" t="s">
        <v>154</v>
      </c>
      <c r="E13" s="83"/>
      <c r="F13" s="83"/>
      <c r="G13" s="83"/>
      <c r="H13" s="83"/>
      <c r="I13" s="83"/>
      <c r="J13" s="83"/>
      <c r="K13" s="83"/>
      <c r="L13" s="83"/>
      <c r="M13" s="83"/>
      <c r="N13" s="83"/>
      <c r="O13" s="83"/>
      <c r="P13" s="83"/>
      <c r="Q13" s="83"/>
      <c r="R13" s="83"/>
      <c r="S13" s="83"/>
      <c r="T13" s="83"/>
      <c r="U13" s="83"/>
    </row>
    <row r="14" spans="1:21" x14ac:dyDescent="0.35">
      <c r="A14" s="103"/>
      <c r="B14" s="103"/>
      <c r="C14" s="103" t="s">
        <v>150</v>
      </c>
      <c r="D14" s="103" t="s">
        <v>155</v>
      </c>
      <c r="E14" s="83"/>
      <c r="F14" s="83"/>
      <c r="G14" s="83"/>
      <c r="H14" s="83"/>
      <c r="I14" s="83"/>
      <c r="J14" s="83"/>
      <c r="K14" s="83"/>
      <c r="L14" s="83"/>
      <c r="M14" s="83"/>
      <c r="N14" s="83"/>
      <c r="O14" s="83"/>
      <c r="P14" s="83"/>
      <c r="Q14" s="83"/>
      <c r="R14" s="83"/>
      <c r="S14" s="83"/>
      <c r="T14" s="83"/>
      <c r="U14" s="83"/>
    </row>
    <row r="15" spans="1:21" x14ac:dyDescent="0.35">
      <c r="A15" s="103"/>
      <c r="B15" s="103"/>
      <c r="C15" s="103" t="s">
        <v>151</v>
      </c>
      <c r="D15" s="103" t="s">
        <v>156</v>
      </c>
      <c r="E15" s="83"/>
      <c r="F15" s="83"/>
      <c r="G15" s="83"/>
      <c r="H15" s="83"/>
      <c r="I15" s="83"/>
      <c r="J15" s="83"/>
      <c r="K15" s="83"/>
      <c r="L15" s="83"/>
      <c r="M15" s="83"/>
      <c r="N15" s="83"/>
      <c r="O15" s="83"/>
      <c r="P15" s="83"/>
      <c r="Q15" s="83"/>
      <c r="R15" s="83"/>
      <c r="S15" s="83"/>
      <c r="T15" s="83"/>
      <c r="U15" s="83"/>
    </row>
    <row r="16" spans="1:21" x14ac:dyDescent="0.35">
      <c r="A16" s="103"/>
      <c r="B16" s="103"/>
      <c r="C16" s="103"/>
      <c r="D16" s="103"/>
      <c r="E16" s="83"/>
      <c r="F16" s="83"/>
      <c r="G16" s="83"/>
      <c r="H16" s="83"/>
      <c r="I16" s="83"/>
      <c r="J16" s="83"/>
      <c r="K16" s="83"/>
      <c r="L16" s="83"/>
      <c r="M16" s="83"/>
      <c r="N16" s="83"/>
      <c r="O16" s="83"/>
    </row>
    <row r="17" spans="1:15" x14ac:dyDescent="0.35">
      <c r="A17" s="103"/>
      <c r="B17" s="103"/>
      <c r="C17" s="103"/>
      <c r="D17" s="103"/>
      <c r="E17" s="83"/>
      <c r="F17" s="83"/>
      <c r="G17" s="83"/>
      <c r="H17" s="83"/>
      <c r="I17" s="83"/>
      <c r="J17" s="83"/>
      <c r="K17" s="83"/>
      <c r="L17" s="83"/>
      <c r="M17" s="83"/>
      <c r="N17" s="83"/>
      <c r="O17" s="83"/>
    </row>
    <row r="18" spans="1:15" x14ac:dyDescent="0.35">
      <c r="A18" s="103"/>
      <c r="B18" s="107"/>
      <c r="C18" s="107"/>
      <c r="D18" s="107"/>
      <c r="E18" s="83"/>
      <c r="F18" s="83"/>
      <c r="G18" s="83"/>
      <c r="H18" s="83"/>
      <c r="I18" s="83"/>
      <c r="J18" s="83"/>
      <c r="K18" s="83"/>
      <c r="L18" s="83"/>
      <c r="M18" s="83"/>
      <c r="N18" s="83"/>
      <c r="O18" s="83"/>
    </row>
    <row r="19" spans="1:15" x14ac:dyDescent="0.35">
      <c r="A19" s="103"/>
      <c r="B19" s="107"/>
      <c r="C19" s="107"/>
      <c r="D19" s="107"/>
      <c r="E19" s="83"/>
      <c r="F19" s="83"/>
      <c r="G19" s="83"/>
      <c r="H19" s="83"/>
      <c r="I19" s="83"/>
      <c r="J19" s="83"/>
      <c r="K19" s="83"/>
      <c r="L19" s="83"/>
      <c r="M19" s="83"/>
      <c r="N19" s="83"/>
      <c r="O19" s="83"/>
    </row>
    <row r="20" spans="1:15" x14ac:dyDescent="0.35">
      <c r="A20" s="103"/>
      <c r="B20" s="107"/>
      <c r="C20" s="107"/>
      <c r="D20" s="107"/>
      <c r="E20" s="83"/>
      <c r="F20" s="83"/>
      <c r="G20" s="83"/>
      <c r="H20" s="83"/>
      <c r="I20" s="83"/>
      <c r="J20" s="83"/>
      <c r="K20" s="83"/>
      <c r="L20" s="83"/>
      <c r="M20" s="83"/>
      <c r="N20" s="83"/>
      <c r="O20" s="83"/>
    </row>
    <row r="21" spans="1:15" x14ac:dyDescent="0.35">
      <c r="A21" s="103"/>
      <c r="B21" s="107"/>
      <c r="C21" s="107"/>
      <c r="D21" s="107"/>
      <c r="E21" s="83"/>
      <c r="F21" s="83"/>
      <c r="G21" s="83"/>
      <c r="H21" s="83"/>
      <c r="I21" s="83"/>
      <c r="J21" s="83"/>
      <c r="K21" s="83"/>
      <c r="L21" s="83"/>
      <c r="M21" s="83"/>
      <c r="N21" s="83"/>
      <c r="O21" s="83"/>
    </row>
    <row r="22" spans="1:15" ht="20" x14ac:dyDescent="0.35">
      <c r="A22" s="103"/>
      <c r="B22" s="103"/>
      <c r="C22" s="105"/>
      <c r="D22" s="105"/>
      <c r="E22" s="83"/>
      <c r="F22" s="83"/>
      <c r="G22" s="83"/>
      <c r="H22" s="83"/>
      <c r="I22" s="83"/>
      <c r="J22" s="83"/>
      <c r="K22" s="83"/>
      <c r="L22" s="83"/>
      <c r="M22" s="83"/>
      <c r="N22" s="83"/>
      <c r="O22" s="83"/>
    </row>
    <row r="23" spans="1:15" ht="20" x14ac:dyDescent="0.35">
      <c r="A23" s="103"/>
      <c r="B23" s="103"/>
      <c r="C23" s="105"/>
      <c r="D23" s="105"/>
      <c r="E23" s="83"/>
      <c r="F23" s="83"/>
      <c r="G23" s="83"/>
      <c r="H23" s="83"/>
      <c r="I23" s="83"/>
      <c r="J23" s="83"/>
      <c r="K23" s="83"/>
      <c r="L23" s="83"/>
      <c r="M23" s="83"/>
      <c r="N23" s="83"/>
      <c r="O23" s="83"/>
    </row>
    <row r="24" spans="1:15" ht="20" x14ac:dyDescent="0.35">
      <c r="A24" s="103"/>
      <c r="B24" s="103"/>
      <c r="C24" s="105"/>
      <c r="D24" s="105"/>
      <c r="E24" s="83"/>
      <c r="F24" s="83"/>
      <c r="G24" s="83"/>
      <c r="H24" s="83"/>
      <c r="I24" s="83"/>
      <c r="J24" s="83"/>
      <c r="K24" s="83"/>
      <c r="L24" s="83"/>
      <c r="M24" s="83"/>
      <c r="N24" s="83"/>
      <c r="O24" s="83"/>
    </row>
    <row r="25" spans="1:15" ht="20" x14ac:dyDescent="0.35">
      <c r="A25" s="103"/>
      <c r="B25" s="103"/>
      <c r="C25" s="105"/>
      <c r="D25" s="105"/>
      <c r="E25" s="83"/>
      <c r="F25" s="83"/>
      <c r="G25" s="83"/>
      <c r="H25" s="83"/>
      <c r="I25" s="83"/>
      <c r="J25" s="83"/>
      <c r="K25" s="83"/>
      <c r="L25" s="83"/>
      <c r="M25" s="83"/>
      <c r="N25" s="83"/>
      <c r="O25" s="83"/>
    </row>
    <row r="26" spans="1:15" ht="20" x14ac:dyDescent="0.35">
      <c r="A26" s="103"/>
      <c r="B26" s="103"/>
      <c r="C26" s="105"/>
      <c r="D26" s="105"/>
      <c r="E26" s="83"/>
      <c r="F26" s="83"/>
      <c r="G26" s="83"/>
      <c r="H26" s="83"/>
      <c r="I26" s="83"/>
      <c r="J26" s="83"/>
      <c r="K26" s="83"/>
      <c r="L26" s="83"/>
      <c r="M26" s="83"/>
      <c r="N26" s="83"/>
      <c r="O26" s="83"/>
    </row>
    <row r="27" spans="1:15" ht="20" x14ac:dyDescent="0.35">
      <c r="A27" s="103"/>
      <c r="B27" s="103"/>
      <c r="C27" s="105"/>
      <c r="D27" s="105"/>
      <c r="E27" s="83"/>
      <c r="F27" s="83"/>
      <c r="G27" s="83"/>
      <c r="H27" s="83"/>
      <c r="I27" s="83"/>
      <c r="J27" s="83"/>
      <c r="K27" s="83"/>
      <c r="L27" s="83"/>
      <c r="M27" s="83"/>
      <c r="N27" s="83"/>
      <c r="O27" s="83"/>
    </row>
    <row r="28" spans="1:15" ht="20" x14ac:dyDescent="0.35">
      <c r="A28" s="103"/>
      <c r="B28" s="103"/>
      <c r="C28" s="105"/>
      <c r="D28" s="105"/>
      <c r="E28" s="83"/>
      <c r="F28" s="83"/>
      <c r="G28" s="83"/>
      <c r="H28" s="83"/>
      <c r="I28" s="83"/>
      <c r="J28" s="83"/>
      <c r="K28" s="83"/>
      <c r="L28" s="83"/>
      <c r="M28" s="83"/>
      <c r="N28" s="83"/>
      <c r="O28" s="83"/>
    </row>
    <row r="29" spans="1:15" ht="20" x14ac:dyDescent="0.35">
      <c r="A29" s="103"/>
      <c r="B29" s="103"/>
      <c r="C29" s="105"/>
      <c r="D29" s="105"/>
      <c r="E29" s="83"/>
      <c r="F29" s="83"/>
      <c r="G29" s="83"/>
      <c r="H29" s="83"/>
      <c r="I29" s="83"/>
      <c r="J29" s="83"/>
      <c r="K29" s="83"/>
      <c r="L29" s="83"/>
      <c r="M29" s="83"/>
      <c r="N29" s="83"/>
      <c r="O29" s="83"/>
    </row>
    <row r="30" spans="1:15" ht="20" x14ac:dyDescent="0.35">
      <c r="A30" s="103"/>
      <c r="B30" s="103"/>
      <c r="C30" s="105"/>
      <c r="D30" s="105"/>
      <c r="E30" s="83"/>
      <c r="F30" s="83"/>
      <c r="G30" s="83"/>
      <c r="H30" s="83"/>
      <c r="I30" s="83"/>
      <c r="J30" s="83"/>
      <c r="K30" s="83"/>
      <c r="L30" s="83"/>
      <c r="M30" s="83"/>
      <c r="N30" s="83"/>
      <c r="O30" s="83"/>
    </row>
    <row r="31" spans="1:15" ht="20" x14ac:dyDescent="0.35">
      <c r="A31" s="103"/>
      <c r="B31" s="103"/>
      <c r="C31" s="105"/>
      <c r="D31" s="105"/>
      <c r="E31" s="83"/>
      <c r="F31" s="83"/>
      <c r="G31" s="83"/>
      <c r="H31" s="83"/>
      <c r="I31" s="83"/>
      <c r="J31" s="83"/>
      <c r="K31" s="83"/>
      <c r="L31" s="83"/>
      <c r="M31" s="83"/>
      <c r="N31" s="83"/>
      <c r="O31" s="83"/>
    </row>
    <row r="32" spans="1:15" ht="20" x14ac:dyDescent="0.35">
      <c r="A32" s="103"/>
      <c r="B32" s="103"/>
      <c r="C32" s="105"/>
      <c r="D32" s="105"/>
      <c r="E32" s="83"/>
      <c r="F32" s="83"/>
      <c r="G32" s="83"/>
      <c r="H32" s="83"/>
      <c r="I32" s="83"/>
      <c r="J32" s="83"/>
      <c r="K32" s="83"/>
      <c r="L32" s="83"/>
      <c r="M32" s="83"/>
      <c r="N32" s="83"/>
      <c r="O32" s="83"/>
    </row>
    <row r="33" spans="1:15" ht="20" x14ac:dyDescent="0.35">
      <c r="A33" s="103"/>
      <c r="B33" s="103"/>
      <c r="C33" s="105"/>
      <c r="D33" s="105"/>
      <c r="E33" s="83"/>
      <c r="F33" s="83"/>
      <c r="G33" s="83"/>
      <c r="H33" s="83"/>
      <c r="I33" s="83"/>
      <c r="J33" s="83"/>
      <c r="K33" s="83"/>
      <c r="L33" s="83"/>
      <c r="M33" s="83"/>
      <c r="N33" s="83"/>
      <c r="O33" s="83"/>
    </row>
    <row r="34" spans="1:15" ht="20" x14ac:dyDescent="0.35">
      <c r="A34" s="103"/>
      <c r="B34" s="103"/>
      <c r="C34" s="105"/>
      <c r="D34" s="105"/>
      <c r="E34" s="83"/>
      <c r="F34" s="83"/>
      <c r="G34" s="83"/>
      <c r="H34" s="83"/>
      <c r="I34" s="83"/>
      <c r="J34" s="83"/>
      <c r="K34" s="83"/>
      <c r="L34" s="83"/>
      <c r="M34" s="83"/>
      <c r="N34" s="83"/>
      <c r="O34" s="83"/>
    </row>
    <row r="35" spans="1:15" ht="20" x14ac:dyDescent="0.35">
      <c r="A35" s="103"/>
      <c r="B35" s="103"/>
      <c r="C35" s="105"/>
      <c r="D35" s="105"/>
      <c r="E35" s="83"/>
      <c r="F35" s="83"/>
      <c r="G35" s="83"/>
      <c r="H35" s="83"/>
      <c r="I35" s="83"/>
      <c r="J35" s="83"/>
      <c r="K35" s="83"/>
      <c r="L35" s="83"/>
      <c r="M35" s="83"/>
      <c r="N35" s="83"/>
      <c r="O35" s="83"/>
    </row>
    <row r="36" spans="1:15" ht="20" x14ac:dyDescent="0.35">
      <c r="A36" s="103"/>
      <c r="B36" s="103"/>
      <c r="C36" s="105"/>
      <c r="D36" s="105"/>
      <c r="E36" s="83"/>
      <c r="F36" s="83"/>
      <c r="G36" s="83"/>
      <c r="H36" s="83"/>
      <c r="I36" s="83"/>
      <c r="J36" s="83"/>
      <c r="K36" s="83"/>
      <c r="L36" s="83"/>
      <c r="M36" s="83"/>
      <c r="N36" s="83"/>
      <c r="O36" s="83"/>
    </row>
    <row r="37" spans="1:15" ht="20" x14ac:dyDescent="0.35">
      <c r="A37" s="103"/>
      <c r="B37" s="103"/>
      <c r="C37" s="105"/>
      <c r="D37" s="105"/>
      <c r="E37" s="83"/>
      <c r="F37" s="83"/>
      <c r="G37" s="83"/>
      <c r="H37" s="83"/>
      <c r="I37" s="83"/>
      <c r="J37" s="83"/>
      <c r="K37" s="83"/>
      <c r="L37" s="83"/>
      <c r="M37" s="83"/>
      <c r="N37" s="83"/>
      <c r="O37" s="83"/>
    </row>
    <row r="38" spans="1:15" ht="20" x14ac:dyDescent="0.35">
      <c r="A38" s="103"/>
      <c r="B38" s="103"/>
      <c r="C38" s="105"/>
      <c r="D38" s="105"/>
      <c r="E38" s="83"/>
      <c r="F38" s="83"/>
      <c r="G38" s="83"/>
      <c r="H38" s="83"/>
      <c r="I38" s="83"/>
      <c r="J38" s="83"/>
      <c r="K38" s="83"/>
      <c r="L38" s="83"/>
      <c r="M38" s="83"/>
      <c r="N38" s="83"/>
      <c r="O38" s="83"/>
    </row>
    <row r="39" spans="1:15" ht="20" x14ac:dyDescent="0.35">
      <c r="A39" s="103"/>
      <c r="B39" s="103"/>
      <c r="C39" s="105"/>
      <c r="D39" s="105"/>
      <c r="E39" s="83"/>
      <c r="F39" s="83"/>
      <c r="G39" s="83"/>
      <c r="H39" s="83"/>
      <c r="I39" s="83"/>
      <c r="J39" s="83"/>
      <c r="K39" s="83"/>
      <c r="L39" s="83"/>
      <c r="M39" s="83"/>
      <c r="N39" s="83"/>
      <c r="O39" s="83"/>
    </row>
    <row r="40" spans="1:15" ht="20" x14ac:dyDescent="0.35">
      <c r="A40" s="103"/>
      <c r="B40" s="103"/>
      <c r="C40" s="105"/>
      <c r="D40" s="105"/>
      <c r="E40" s="83"/>
      <c r="F40" s="83"/>
      <c r="G40" s="83"/>
      <c r="H40" s="83"/>
      <c r="I40" s="83"/>
      <c r="J40" s="83"/>
      <c r="K40" s="83"/>
      <c r="L40" s="83"/>
      <c r="M40" s="83"/>
      <c r="N40" s="83"/>
      <c r="O40" s="83"/>
    </row>
    <row r="41" spans="1:15" ht="20" x14ac:dyDescent="0.35">
      <c r="A41" s="103"/>
      <c r="B41" s="103"/>
      <c r="C41" s="105"/>
      <c r="D41" s="105"/>
      <c r="E41" s="83"/>
      <c r="F41" s="83"/>
      <c r="G41" s="83"/>
      <c r="H41" s="83"/>
      <c r="I41" s="83"/>
      <c r="J41" s="83"/>
      <c r="K41" s="83"/>
      <c r="L41" s="83"/>
      <c r="M41" s="83"/>
      <c r="N41" s="83"/>
      <c r="O41" s="83"/>
    </row>
    <row r="42" spans="1:15" ht="20" x14ac:dyDescent="0.35">
      <c r="A42" s="103"/>
      <c r="B42" s="103"/>
      <c r="C42" s="105"/>
      <c r="D42" s="105"/>
      <c r="E42" s="83"/>
      <c r="F42" s="83"/>
      <c r="G42" s="83"/>
      <c r="H42" s="83"/>
      <c r="I42" s="83"/>
      <c r="J42" s="83"/>
      <c r="K42" s="83"/>
      <c r="L42" s="83"/>
      <c r="M42" s="83"/>
      <c r="N42" s="83"/>
      <c r="O42" s="83"/>
    </row>
    <row r="43" spans="1:15" ht="20" x14ac:dyDescent="0.35">
      <c r="A43" s="103"/>
      <c r="B43" s="103"/>
      <c r="C43" s="105"/>
      <c r="D43" s="105"/>
      <c r="E43" s="83"/>
      <c r="F43" s="83"/>
      <c r="G43" s="83"/>
      <c r="H43" s="83"/>
      <c r="I43" s="83"/>
      <c r="J43" s="83"/>
      <c r="K43" s="83"/>
      <c r="L43" s="83"/>
      <c r="M43" s="83"/>
      <c r="N43" s="83"/>
      <c r="O43" s="83"/>
    </row>
    <row r="44" spans="1:15" ht="20" x14ac:dyDescent="0.35">
      <c r="A44" s="103"/>
      <c r="B44" s="103"/>
      <c r="C44" s="105"/>
      <c r="D44" s="105"/>
      <c r="E44" s="83"/>
      <c r="F44" s="83"/>
      <c r="G44" s="83"/>
      <c r="H44" s="83"/>
      <c r="I44" s="83"/>
      <c r="J44" s="83"/>
      <c r="K44" s="83"/>
      <c r="L44" s="83"/>
      <c r="M44" s="83"/>
      <c r="N44" s="83"/>
      <c r="O44" s="83"/>
    </row>
    <row r="45" spans="1:15" ht="20" x14ac:dyDescent="0.35">
      <c r="A45" s="103"/>
      <c r="B45" s="103"/>
      <c r="C45" s="105"/>
      <c r="D45" s="105"/>
      <c r="E45" s="83"/>
      <c r="F45" s="83"/>
      <c r="G45" s="83"/>
      <c r="H45" s="83"/>
      <c r="I45" s="83"/>
      <c r="J45" s="83"/>
      <c r="K45" s="83"/>
      <c r="L45" s="83"/>
      <c r="M45" s="83"/>
      <c r="N45" s="83"/>
      <c r="O45" s="83"/>
    </row>
    <row r="46" spans="1:15" ht="20" x14ac:dyDescent="0.35">
      <c r="A46" s="103"/>
      <c r="B46" s="103"/>
      <c r="C46" s="105"/>
      <c r="D46" s="105"/>
      <c r="E46" s="83"/>
      <c r="F46" s="83"/>
      <c r="G46" s="83"/>
      <c r="H46" s="83"/>
      <c r="I46" s="83"/>
      <c r="J46" s="83"/>
      <c r="K46" s="83"/>
      <c r="L46" s="83"/>
      <c r="M46" s="83"/>
      <c r="N46" s="83"/>
      <c r="O46" s="83"/>
    </row>
    <row r="47" spans="1:15" ht="20" x14ac:dyDescent="0.35">
      <c r="A47" s="103"/>
      <c r="B47" s="103"/>
      <c r="C47" s="105"/>
      <c r="D47" s="105"/>
      <c r="E47" s="83"/>
      <c r="F47" s="83"/>
      <c r="G47" s="83"/>
      <c r="H47" s="83"/>
      <c r="I47" s="83"/>
      <c r="J47" s="83"/>
      <c r="K47" s="83"/>
      <c r="L47" s="83"/>
      <c r="M47" s="83"/>
      <c r="N47" s="83"/>
      <c r="O47" s="83"/>
    </row>
    <row r="48" spans="1:15" ht="20" x14ac:dyDescent="0.35">
      <c r="A48" s="103"/>
      <c r="B48" s="103"/>
      <c r="C48" s="105"/>
      <c r="D48" s="105"/>
      <c r="E48" s="83"/>
      <c r="F48" s="83"/>
      <c r="G48" s="83"/>
      <c r="H48" s="83"/>
      <c r="I48" s="83"/>
      <c r="J48" s="83"/>
      <c r="K48" s="83"/>
      <c r="L48" s="83"/>
      <c r="M48" s="83"/>
      <c r="N48" s="83"/>
      <c r="O48" s="83"/>
    </row>
    <row r="49" spans="1:15" ht="20" x14ac:dyDescent="0.35">
      <c r="A49" s="103"/>
      <c r="B49" s="103"/>
      <c r="C49" s="105"/>
      <c r="D49" s="105"/>
      <c r="E49" s="83"/>
      <c r="F49" s="83"/>
      <c r="G49" s="83"/>
      <c r="H49" s="83"/>
      <c r="I49" s="83"/>
      <c r="J49" s="83"/>
      <c r="K49" s="83"/>
      <c r="L49" s="83"/>
      <c r="M49" s="83"/>
      <c r="N49" s="83"/>
      <c r="O49" s="83"/>
    </row>
    <row r="50" spans="1:15" ht="20" x14ac:dyDescent="0.35">
      <c r="A50" s="103"/>
      <c r="B50" s="103"/>
      <c r="C50" s="105"/>
      <c r="D50" s="105"/>
      <c r="E50" s="83"/>
      <c r="F50" s="83"/>
      <c r="G50" s="83"/>
      <c r="H50" s="83"/>
      <c r="I50" s="83"/>
      <c r="J50" s="83"/>
      <c r="K50" s="83"/>
      <c r="L50" s="83"/>
      <c r="M50" s="83"/>
      <c r="N50" s="83"/>
      <c r="O50" s="83"/>
    </row>
    <row r="51" spans="1:15" ht="20" x14ac:dyDescent="0.35">
      <c r="A51" s="103"/>
      <c r="B51" s="103"/>
      <c r="C51" s="105"/>
      <c r="D51" s="105"/>
      <c r="E51" s="83"/>
      <c r="F51" s="83"/>
      <c r="G51" s="83"/>
      <c r="H51" s="83"/>
      <c r="I51" s="83"/>
      <c r="J51" s="83"/>
      <c r="K51" s="83"/>
      <c r="L51" s="83"/>
      <c r="M51" s="83"/>
      <c r="N51" s="83"/>
      <c r="O51" s="83"/>
    </row>
    <row r="52" spans="1:15" ht="20" x14ac:dyDescent="0.35">
      <c r="A52" s="103"/>
      <c r="B52" s="23"/>
      <c r="C52" s="34"/>
      <c r="D52" s="34"/>
    </row>
    <row r="53" spans="1:15" ht="20" x14ac:dyDescent="0.35">
      <c r="A53" s="103"/>
      <c r="B53" s="23"/>
      <c r="C53" s="34"/>
      <c r="D53" s="34"/>
    </row>
    <row r="54" spans="1:15" ht="20" x14ac:dyDescent="0.35">
      <c r="A54" s="103"/>
      <c r="B54" s="23"/>
      <c r="C54" s="34"/>
      <c r="D54" s="34"/>
    </row>
    <row r="55" spans="1:15" ht="20" x14ac:dyDescent="0.35">
      <c r="A55" s="103"/>
      <c r="B55" s="23"/>
      <c r="C55" s="34"/>
      <c r="D55" s="34"/>
    </row>
    <row r="56" spans="1:15" ht="20" x14ac:dyDescent="0.35">
      <c r="A56" s="103"/>
      <c r="B56" s="23"/>
      <c r="C56" s="34"/>
      <c r="D56" s="34"/>
    </row>
    <row r="57" spans="1:15" ht="20" x14ac:dyDescent="0.35">
      <c r="A57" s="103"/>
      <c r="B57" s="23"/>
      <c r="C57" s="34"/>
      <c r="D57" s="34"/>
    </row>
    <row r="58" spans="1:15" ht="20" x14ac:dyDescent="0.35">
      <c r="A58" s="103"/>
      <c r="B58" s="23"/>
      <c r="C58" s="34"/>
      <c r="D58" s="34"/>
    </row>
    <row r="59" spans="1:15" ht="20" x14ac:dyDescent="0.35">
      <c r="A59" s="103"/>
      <c r="B59" s="23"/>
      <c r="C59" s="34"/>
      <c r="D59" s="34"/>
    </row>
    <row r="60" spans="1:15" ht="20" x14ac:dyDescent="0.35">
      <c r="A60" s="103"/>
      <c r="B60" s="23"/>
      <c r="C60" s="34"/>
      <c r="D60" s="34"/>
    </row>
    <row r="61" spans="1:15" ht="20" x14ac:dyDescent="0.35">
      <c r="A61" s="103"/>
      <c r="B61" s="23"/>
      <c r="C61" s="34"/>
      <c r="D61" s="34"/>
    </row>
    <row r="62" spans="1:15" ht="20" x14ac:dyDescent="0.35">
      <c r="A62" s="103"/>
      <c r="B62" s="23"/>
      <c r="C62" s="34"/>
      <c r="D62" s="34"/>
    </row>
    <row r="63" spans="1:15" ht="20" x14ac:dyDescent="0.35">
      <c r="A63" s="103"/>
      <c r="B63" s="23"/>
      <c r="C63" s="34"/>
      <c r="D63" s="34"/>
    </row>
    <row r="64" spans="1:15" ht="20" x14ac:dyDescent="0.35">
      <c r="A64" s="103"/>
      <c r="B64" s="23"/>
      <c r="C64" s="34"/>
      <c r="D64" s="34"/>
    </row>
    <row r="65" spans="1:4" ht="20" x14ac:dyDescent="0.35">
      <c r="A65" s="103"/>
      <c r="B65" s="23"/>
      <c r="C65" s="34"/>
      <c r="D65" s="34"/>
    </row>
    <row r="66" spans="1:4" ht="20" x14ac:dyDescent="0.35">
      <c r="A66" s="103"/>
      <c r="B66" s="23"/>
      <c r="C66" s="34"/>
      <c r="D66" s="34"/>
    </row>
    <row r="67" spans="1:4" ht="20" x14ac:dyDescent="0.35">
      <c r="A67" s="103"/>
      <c r="B67" s="23"/>
      <c r="C67" s="34"/>
      <c r="D67" s="34"/>
    </row>
    <row r="68" spans="1:4" ht="20" x14ac:dyDescent="0.35">
      <c r="A68" s="103"/>
      <c r="B68" s="23"/>
      <c r="C68" s="34"/>
      <c r="D68" s="34"/>
    </row>
    <row r="69" spans="1:4" ht="20" x14ac:dyDescent="0.35">
      <c r="A69" s="103"/>
      <c r="B69" s="23"/>
      <c r="C69" s="34"/>
      <c r="D69" s="34"/>
    </row>
    <row r="70" spans="1:4" ht="20" x14ac:dyDescent="0.35">
      <c r="A70" s="103"/>
      <c r="B70" s="23"/>
      <c r="C70" s="34"/>
      <c r="D70" s="34"/>
    </row>
    <row r="71" spans="1:4" ht="20" x14ac:dyDescent="0.35">
      <c r="A71" s="103"/>
      <c r="B71" s="23"/>
      <c r="C71" s="34"/>
      <c r="D71" s="34"/>
    </row>
    <row r="72" spans="1:4" ht="20" x14ac:dyDescent="0.35">
      <c r="A72" s="103"/>
      <c r="B72" s="23"/>
      <c r="C72" s="34"/>
      <c r="D72" s="34"/>
    </row>
    <row r="73" spans="1:4" ht="20" x14ac:dyDescent="0.35">
      <c r="A73" s="103"/>
      <c r="B73" s="23"/>
      <c r="C73" s="34"/>
      <c r="D73" s="34"/>
    </row>
    <row r="74" spans="1:4" ht="20" x14ac:dyDescent="0.35">
      <c r="A74" s="103"/>
      <c r="B74" s="23"/>
      <c r="C74" s="34"/>
      <c r="D74" s="34"/>
    </row>
    <row r="75" spans="1:4" ht="20" x14ac:dyDescent="0.35">
      <c r="A75" s="103"/>
      <c r="B75" s="23"/>
      <c r="C75" s="34"/>
      <c r="D75" s="34"/>
    </row>
    <row r="76" spans="1:4" ht="20" x14ac:dyDescent="0.35">
      <c r="A76" s="103"/>
      <c r="B76" s="23"/>
      <c r="C76" s="34"/>
      <c r="D76" s="34"/>
    </row>
    <row r="77" spans="1:4" ht="20" x14ac:dyDescent="0.35">
      <c r="A77" s="103"/>
      <c r="B77" s="23"/>
      <c r="C77" s="34"/>
      <c r="D77" s="34"/>
    </row>
    <row r="78" spans="1:4" ht="20" x14ac:dyDescent="0.35">
      <c r="A78" s="103"/>
      <c r="B78" s="23"/>
      <c r="C78" s="34"/>
      <c r="D78" s="34"/>
    </row>
    <row r="79" spans="1:4" ht="20" x14ac:dyDescent="0.35">
      <c r="A79" s="103"/>
      <c r="B79" s="23"/>
      <c r="C79" s="34"/>
      <c r="D79" s="34"/>
    </row>
    <row r="80" spans="1:4" ht="20" x14ac:dyDescent="0.35">
      <c r="A80" s="103"/>
      <c r="B80" s="23"/>
      <c r="C80" s="34"/>
      <c r="D80" s="34"/>
    </row>
    <row r="81" spans="1:4" ht="20" x14ac:dyDescent="0.35">
      <c r="A81" s="103"/>
      <c r="B81" s="23"/>
      <c r="C81" s="34"/>
      <c r="D81" s="34"/>
    </row>
    <row r="82" spans="1:4" ht="20" x14ac:dyDescent="0.35">
      <c r="A82" s="103"/>
      <c r="B82" s="23"/>
      <c r="C82" s="34"/>
      <c r="D82" s="34"/>
    </row>
    <row r="83" spans="1:4" ht="20" x14ac:dyDescent="0.35">
      <c r="A83" s="103"/>
      <c r="B83" s="23"/>
      <c r="C83" s="34"/>
      <c r="D83" s="34"/>
    </row>
    <row r="84" spans="1:4" ht="20" x14ac:dyDescent="0.35">
      <c r="A84" s="103"/>
      <c r="B84" s="23"/>
      <c r="C84" s="34"/>
      <c r="D84" s="34"/>
    </row>
    <row r="85" spans="1:4" ht="20" x14ac:dyDescent="0.35">
      <c r="A85" s="103"/>
      <c r="B85" s="23"/>
      <c r="C85" s="34"/>
      <c r="D85" s="34"/>
    </row>
    <row r="86" spans="1:4" ht="20" x14ac:dyDescent="0.35">
      <c r="A86" s="103"/>
      <c r="B86" s="23"/>
      <c r="C86" s="34"/>
      <c r="D86" s="34"/>
    </row>
    <row r="87" spans="1:4" ht="20" x14ac:dyDescent="0.35">
      <c r="A87" s="103"/>
      <c r="B87" s="23"/>
      <c r="C87" s="34"/>
      <c r="D87" s="34"/>
    </row>
    <row r="88" spans="1:4" ht="20" x14ac:dyDescent="0.35">
      <c r="A88" s="103"/>
      <c r="B88" s="23"/>
      <c r="C88" s="34"/>
      <c r="D88" s="34"/>
    </row>
    <row r="89" spans="1:4" ht="20" x14ac:dyDescent="0.35">
      <c r="A89" s="103"/>
      <c r="B89" s="23"/>
      <c r="C89" s="34"/>
      <c r="D89" s="34"/>
    </row>
    <row r="90" spans="1:4" ht="20" x14ac:dyDescent="0.35">
      <c r="A90" s="103"/>
      <c r="B90" s="23"/>
      <c r="C90" s="34"/>
      <c r="D90" s="34"/>
    </row>
    <row r="91" spans="1:4" ht="20" x14ac:dyDescent="0.35">
      <c r="A91" s="103"/>
      <c r="B91" s="23"/>
      <c r="C91" s="34"/>
      <c r="D91" s="34"/>
    </row>
    <row r="92" spans="1:4" ht="20" x14ac:dyDescent="0.35">
      <c r="A92" s="103"/>
      <c r="B92" s="23"/>
      <c r="C92" s="34"/>
      <c r="D92" s="34"/>
    </row>
    <row r="93" spans="1:4" ht="20" x14ac:dyDescent="0.35">
      <c r="A93" s="103"/>
      <c r="B93" s="23"/>
      <c r="C93" s="34"/>
      <c r="D93" s="34"/>
    </row>
    <row r="94" spans="1:4" ht="20" x14ac:dyDescent="0.35">
      <c r="A94" s="103"/>
      <c r="B94" s="23"/>
      <c r="C94" s="34"/>
      <c r="D94" s="34"/>
    </row>
    <row r="95" spans="1:4" ht="20" x14ac:dyDescent="0.35">
      <c r="A95" s="103"/>
      <c r="B95" s="23"/>
      <c r="C95" s="34"/>
      <c r="D95" s="34"/>
    </row>
    <row r="96" spans="1:4" ht="20" x14ac:dyDescent="0.35">
      <c r="A96" s="103"/>
      <c r="B96" s="23"/>
      <c r="C96" s="34"/>
      <c r="D96" s="34"/>
    </row>
    <row r="97" spans="1:4" ht="20" x14ac:dyDescent="0.35">
      <c r="A97" s="103"/>
      <c r="B97" s="23"/>
      <c r="C97" s="34"/>
      <c r="D97" s="34"/>
    </row>
    <row r="98" spans="1:4" ht="20" x14ac:dyDescent="0.35">
      <c r="A98" s="103"/>
      <c r="B98" s="23"/>
      <c r="C98" s="34"/>
      <c r="D98" s="34"/>
    </row>
    <row r="99" spans="1:4" ht="20" x14ac:dyDescent="0.35">
      <c r="A99" s="103"/>
      <c r="B99" s="23"/>
      <c r="C99" s="34"/>
      <c r="D99" s="34"/>
    </row>
    <row r="100" spans="1:4" ht="20" x14ac:dyDescent="0.35">
      <c r="A100" s="103"/>
      <c r="B100" s="23"/>
      <c r="C100" s="34"/>
      <c r="D100" s="34"/>
    </row>
    <row r="101" spans="1:4" ht="20" x14ac:dyDescent="0.35">
      <c r="A101" s="103"/>
      <c r="B101" s="23"/>
      <c r="C101" s="34"/>
      <c r="D101" s="34"/>
    </row>
    <row r="102" spans="1:4" ht="20" x14ac:dyDescent="0.35">
      <c r="A102" s="103"/>
      <c r="B102" s="23"/>
      <c r="C102" s="34"/>
      <c r="D102" s="34"/>
    </row>
    <row r="103" spans="1:4" ht="20" x14ac:dyDescent="0.35">
      <c r="A103" s="103"/>
      <c r="B103" s="23"/>
      <c r="C103" s="34"/>
      <c r="D103" s="34"/>
    </row>
    <row r="104" spans="1:4" ht="20" x14ac:dyDescent="0.35">
      <c r="A104" s="103"/>
      <c r="B104" s="23"/>
      <c r="C104" s="34"/>
      <c r="D104" s="34"/>
    </row>
    <row r="105" spans="1:4" ht="20" x14ac:dyDescent="0.35">
      <c r="A105" s="103"/>
      <c r="B105" s="23"/>
      <c r="C105" s="34"/>
      <c r="D105" s="34"/>
    </row>
    <row r="106" spans="1:4" ht="20" x14ac:dyDescent="0.35">
      <c r="A106" s="103"/>
      <c r="B106" s="23"/>
      <c r="C106" s="34"/>
      <c r="D106" s="34"/>
    </row>
    <row r="107" spans="1:4" ht="20" x14ac:dyDescent="0.35">
      <c r="A107" s="103"/>
      <c r="B107" s="23"/>
      <c r="C107" s="34"/>
      <c r="D107" s="34"/>
    </row>
    <row r="108" spans="1:4" ht="20" x14ac:dyDescent="0.35">
      <c r="A108" s="103"/>
      <c r="B108" s="23"/>
      <c r="C108" s="34"/>
      <c r="D108" s="34"/>
    </row>
    <row r="109" spans="1:4" ht="20" x14ac:dyDescent="0.35">
      <c r="A109" s="103"/>
      <c r="B109" s="23"/>
      <c r="C109" s="34"/>
      <c r="D109" s="34"/>
    </row>
    <row r="110" spans="1:4" ht="20" x14ac:dyDescent="0.35">
      <c r="A110" s="103"/>
      <c r="B110" s="23"/>
      <c r="C110" s="34"/>
      <c r="D110" s="34"/>
    </row>
    <row r="111" spans="1:4" ht="20" x14ac:dyDescent="0.35">
      <c r="A111" s="103"/>
      <c r="B111" s="23"/>
      <c r="C111" s="34"/>
      <c r="D111" s="34"/>
    </row>
    <row r="112" spans="1:4" ht="20" x14ac:dyDescent="0.35">
      <c r="A112" s="103"/>
      <c r="B112" s="23"/>
      <c r="C112" s="34"/>
      <c r="D112" s="34"/>
    </row>
    <row r="113" spans="1:4" ht="20" x14ac:dyDescent="0.35">
      <c r="A113" s="103"/>
      <c r="B113" s="23"/>
      <c r="C113" s="34"/>
      <c r="D113" s="34"/>
    </row>
    <row r="114" spans="1:4" ht="20" x14ac:dyDescent="0.35">
      <c r="A114" s="103"/>
      <c r="B114" s="23"/>
      <c r="C114" s="34"/>
      <c r="D114" s="34"/>
    </row>
    <row r="115" spans="1:4" ht="20" x14ac:dyDescent="0.35">
      <c r="A115" s="103"/>
      <c r="B115" s="23"/>
      <c r="C115" s="34"/>
      <c r="D115" s="34"/>
    </row>
    <row r="116" spans="1:4" ht="20" x14ac:dyDescent="0.35">
      <c r="A116" s="103"/>
      <c r="B116" s="23"/>
      <c r="C116" s="34"/>
      <c r="D116" s="34"/>
    </row>
    <row r="117" spans="1:4" ht="20" x14ac:dyDescent="0.35">
      <c r="A117" s="103"/>
      <c r="B117" s="23"/>
      <c r="C117" s="34"/>
      <c r="D117" s="34"/>
    </row>
    <row r="118" spans="1:4" ht="20" x14ac:dyDescent="0.35">
      <c r="A118" s="103"/>
      <c r="B118" s="23"/>
      <c r="C118" s="34"/>
      <c r="D118" s="34"/>
    </row>
    <row r="119" spans="1:4" ht="20" x14ac:dyDescent="0.35">
      <c r="A119" s="103"/>
      <c r="B119" s="23"/>
      <c r="C119" s="34"/>
      <c r="D119" s="34"/>
    </row>
    <row r="120" spans="1:4" ht="20" x14ac:dyDescent="0.35">
      <c r="A120" s="103"/>
      <c r="B120" s="23"/>
      <c r="C120" s="34"/>
      <c r="D120" s="34"/>
    </row>
    <row r="121" spans="1:4" ht="20" x14ac:dyDescent="0.35">
      <c r="A121" s="103"/>
      <c r="B121" s="23"/>
      <c r="C121" s="34"/>
      <c r="D121" s="34"/>
    </row>
    <row r="122" spans="1:4" ht="20" x14ac:dyDescent="0.35">
      <c r="A122" s="103"/>
      <c r="B122" s="23"/>
      <c r="C122" s="34"/>
      <c r="D122" s="34"/>
    </row>
    <row r="123" spans="1:4" ht="20" x14ac:dyDescent="0.35">
      <c r="A123" s="103"/>
      <c r="B123" s="23"/>
      <c r="C123" s="34"/>
      <c r="D123" s="34"/>
    </row>
    <row r="124" spans="1:4" ht="20" x14ac:dyDescent="0.35">
      <c r="A124" s="103"/>
      <c r="B124" s="23"/>
      <c r="C124" s="34"/>
      <c r="D124" s="34"/>
    </row>
    <row r="125" spans="1:4" ht="20" x14ac:dyDescent="0.35">
      <c r="A125" s="103"/>
      <c r="B125" s="23"/>
      <c r="C125" s="34"/>
      <c r="D125" s="34"/>
    </row>
    <row r="126" spans="1:4" ht="20" x14ac:dyDescent="0.35">
      <c r="A126" s="103"/>
      <c r="B126" s="23"/>
      <c r="C126" s="34"/>
      <c r="D126" s="34"/>
    </row>
    <row r="127" spans="1:4" ht="20" x14ac:dyDescent="0.35">
      <c r="A127" s="103"/>
      <c r="B127" s="23"/>
      <c r="C127" s="34"/>
      <c r="D127" s="34"/>
    </row>
    <row r="128" spans="1:4" ht="20" x14ac:dyDescent="0.35">
      <c r="A128" s="103"/>
      <c r="B128" s="23"/>
      <c r="C128" s="34"/>
      <c r="D128" s="34"/>
    </row>
    <row r="129" spans="1:4" ht="20" x14ac:dyDescent="0.35">
      <c r="A129" s="103"/>
      <c r="B129" s="23"/>
      <c r="C129" s="34"/>
      <c r="D129" s="34"/>
    </row>
    <row r="130" spans="1:4" ht="20" x14ac:dyDescent="0.35">
      <c r="A130" s="103"/>
      <c r="B130" s="23"/>
      <c r="C130" s="34"/>
      <c r="D130" s="34"/>
    </row>
    <row r="131" spans="1:4" ht="20" x14ac:dyDescent="0.35">
      <c r="A131" s="103"/>
      <c r="B131" s="23"/>
      <c r="C131" s="34"/>
      <c r="D131" s="34"/>
    </row>
    <row r="132" spans="1:4" ht="20" x14ac:dyDescent="0.35">
      <c r="A132" s="103"/>
      <c r="B132" s="23"/>
      <c r="C132" s="34"/>
      <c r="D132" s="34"/>
    </row>
    <row r="133" spans="1:4" ht="20" x14ac:dyDescent="0.35">
      <c r="A133" s="103"/>
      <c r="B133" s="23"/>
      <c r="C133" s="34"/>
      <c r="D133" s="34"/>
    </row>
    <row r="134" spans="1:4" ht="20" x14ac:dyDescent="0.35">
      <c r="A134" s="103"/>
      <c r="B134" s="23"/>
      <c r="C134" s="34"/>
      <c r="D134" s="34"/>
    </row>
    <row r="135" spans="1:4" ht="20" x14ac:dyDescent="0.35">
      <c r="A135" s="103"/>
      <c r="B135" s="23"/>
      <c r="C135" s="34"/>
      <c r="D135" s="34"/>
    </row>
    <row r="136" spans="1:4" ht="20" x14ac:dyDescent="0.35">
      <c r="A136" s="103"/>
      <c r="B136" s="23"/>
      <c r="C136" s="34"/>
      <c r="D136" s="34"/>
    </row>
    <row r="137" spans="1:4" ht="20" x14ac:dyDescent="0.35">
      <c r="A137" s="103"/>
      <c r="B137" s="23"/>
      <c r="C137" s="34"/>
      <c r="D137" s="34"/>
    </row>
    <row r="138" spans="1:4" ht="20" x14ac:dyDescent="0.35">
      <c r="A138" s="103"/>
      <c r="B138" s="23"/>
      <c r="C138" s="34"/>
      <c r="D138" s="34"/>
    </row>
    <row r="139" spans="1:4" ht="20" x14ac:dyDescent="0.35">
      <c r="A139" s="103"/>
      <c r="B139" s="23"/>
      <c r="C139" s="34"/>
      <c r="D139" s="34"/>
    </row>
    <row r="140" spans="1:4" ht="20" x14ac:dyDescent="0.35">
      <c r="A140" s="103"/>
      <c r="B140" s="23"/>
      <c r="C140" s="34"/>
      <c r="D140" s="34"/>
    </row>
    <row r="141" spans="1:4" ht="20" x14ac:dyDescent="0.35">
      <c r="A141" s="103"/>
      <c r="B141" s="23"/>
      <c r="C141" s="34"/>
      <c r="D141" s="34"/>
    </row>
    <row r="142" spans="1:4" ht="20" x14ac:dyDescent="0.35">
      <c r="A142" s="103"/>
      <c r="B142" s="23"/>
      <c r="C142" s="34"/>
      <c r="D142" s="34"/>
    </row>
    <row r="143" spans="1:4" ht="20" x14ac:dyDescent="0.35">
      <c r="A143" s="103"/>
      <c r="B143" s="23"/>
      <c r="C143" s="34"/>
      <c r="D143" s="34"/>
    </row>
    <row r="144" spans="1:4" ht="20" x14ac:dyDescent="0.35">
      <c r="A144" s="103"/>
      <c r="B144" s="23"/>
      <c r="C144" s="34"/>
      <c r="D144" s="34"/>
    </row>
    <row r="145" spans="1:4" ht="20" x14ac:dyDescent="0.35">
      <c r="A145" s="103"/>
      <c r="B145" s="23"/>
      <c r="C145" s="34"/>
      <c r="D145" s="34"/>
    </row>
    <row r="146" spans="1:4" ht="20" x14ac:dyDescent="0.35">
      <c r="A146" s="103"/>
      <c r="B146" s="23"/>
      <c r="C146" s="34"/>
      <c r="D146" s="34"/>
    </row>
    <row r="147" spans="1:4" ht="20" x14ac:dyDescent="0.35">
      <c r="A147" s="103"/>
      <c r="B147" s="23"/>
      <c r="C147" s="34"/>
      <c r="D147" s="34"/>
    </row>
    <row r="148" spans="1:4" ht="20" x14ac:dyDescent="0.35">
      <c r="A148" s="103"/>
      <c r="B148" s="23"/>
      <c r="C148" s="34"/>
      <c r="D148" s="34"/>
    </row>
    <row r="149" spans="1:4" ht="20" x14ac:dyDescent="0.35">
      <c r="A149" s="103"/>
      <c r="B149" s="23"/>
      <c r="C149" s="34"/>
      <c r="D149" s="34"/>
    </row>
    <row r="150" spans="1:4" ht="20" x14ac:dyDescent="0.35">
      <c r="A150" s="103"/>
      <c r="B150" s="23"/>
      <c r="C150" s="34"/>
      <c r="D150" s="34"/>
    </row>
    <row r="151" spans="1:4" ht="20" x14ac:dyDescent="0.35">
      <c r="A151" s="103"/>
      <c r="B151" s="23"/>
      <c r="C151" s="34"/>
      <c r="D151" s="34"/>
    </row>
    <row r="152" spans="1:4" ht="20" x14ac:dyDescent="0.35">
      <c r="A152" s="103"/>
      <c r="B152" s="23"/>
      <c r="C152" s="34"/>
      <c r="D152" s="34"/>
    </row>
    <row r="153" spans="1:4" ht="20" x14ac:dyDescent="0.35">
      <c r="A153" s="103"/>
      <c r="B153" s="23"/>
      <c r="C153" s="34"/>
      <c r="D153" s="34"/>
    </row>
    <row r="154" spans="1:4" ht="20" x14ac:dyDescent="0.35">
      <c r="A154" s="103"/>
      <c r="B154" s="23"/>
      <c r="C154" s="34"/>
      <c r="D154" s="34"/>
    </row>
    <row r="155" spans="1:4" ht="20" x14ac:dyDescent="0.35">
      <c r="A155" s="103"/>
      <c r="B155" s="23"/>
      <c r="C155" s="34"/>
      <c r="D155" s="34"/>
    </row>
    <row r="156" spans="1:4" ht="20" x14ac:dyDescent="0.35">
      <c r="A156" s="103"/>
      <c r="B156" s="23"/>
      <c r="C156" s="34"/>
      <c r="D156" s="34"/>
    </row>
    <row r="157" spans="1:4" ht="20" x14ac:dyDescent="0.35">
      <c r="A157" s="103"/>
      <c r="B157" s="23"/>
      <c r="C157" s="34"/>
      <c r="D157" s="34"/>
    </row>
    <row r="158" spans="1:4" ht="20" x14ac:dyDescent="0.35">
      <c r="A158" s="103"/>
      <c r="B158" s="23"/>
      <c r="C158" s="34"/>
      <c r="D158" s="34"/>
    </row>
    <row r="159" spans="1:4" ht="20" x14ac:dyDescent="0.35">
      <c r="A159" s="103"/>
      <c r="B159" s="23"/>
      <c r="C159" s="34"/>
      <c r="D159" s="34"/>
    </row>
    <row r="160" spans="1:4" ht="20" x14ac:dyDescent="0.35">
      <c r="A160" s="103"/>
      <c r="B160" s="23"/>
      <c r="C160" s="34"/>
      <c r="D160" s="34"/>
    </row>
    <row r="161" spans="1:4" ht="20" x14ac:dyDescent="0.35">
      <c r="A161" s="103"/>
      <c r="B161" s="23"/>
      <c r="C161" s="34"/>
      <c r="D161" s="34"/>
    </row>
    <row r="162" spans="1:4" ht="20" x14ac:dyDescent="0.35">
      <c r="A162" s="103"/>
      <c r="B162" s="23"/>
      <c r="C162" s="34"/>
      <c r="D162" s="34"/>
    </row>
    <row r="163" spans="1:4" ht="20" x14ac:dyDescent="0.35">
      <c r="A163" s="103"/>
      <c r="B163" s="23"/>
      <c r="C163" s="34"/>
      <c r="D163" s="34"/>
    </row>
    <row r="164" spans="1:4" ht="20" x14ac:dyDescent="0.35">
      <c r="A164" s="103"/>
      <c r="B164" s="23"/>
      <c r="C164" s="34"/>
      <c r="D164" s="34"/>
    </row>
    <row r="165" spans="1:4" ht="20" x14ac:dyDescent="0.35">
      <c r="A165" s="103"/>
      <c r="B165" s="23"/>
      <c r="C165" s="34"/>
      <c r="D165" s="34"/>
    </row>
    <row r="166" spans="1:4" ht="20" x14ac:dyDescent="0.35">
      <c r="A166" s="103"/>
      <c r="B166" s="23"/>
      <c r="C166" s="34"/>
      <c r="D166" s="34"/>
    </row>
    <row r="167" spans="1:4" ht="20" x14ac:dyDescent="0.35">
      <c r="A167" s="103"/>
      <c r="B167" s="23"/>
      <c r="C167" s="34"/>
      <c r="D167" s="34"/>
    </row>
    <row r="168" spans="1:4" ht="20" x14ac:dyDescent="0.35">
      <c r="A168" s="103"/>
      <c r="B168" s="23"/>
      <c r="C168" s="34"/>
      <c r="D168" s="34"/>
    </row>
    <row r="169" spans="1:4" ht="20" x14ac:dyDescent="0.35">
      <c r="A169" s="103"/>
      <c r="B169" s="23"/>
      <c r="C169" s="34"/>
      <c r="D169" s="34"/>
    </row>
    <row r="170" spans="1:4" ht="20" x14ac:dyDescent="0.35">
      <c r="A170" s="103"/>
      <c r="B170" s="23"/>
      <c r="C170" s="34"/>
      <c r="D170" s="34"/>
    </row>
    <row r="171" spans="1:4" ht="20" x14ac:dyDescent="0.35">
      <c r="A171" s="103"/>
      <c r="B171" s="23"/>
      <c r="C171" s="34"/>
      <c r="D171" s="34"/>
    </row>
    <row r="172" spans="1:4" ht="20" x14ac:dyDescent="0.35">
      <c r="A172" s="103"/>
      <c r="B172" s="23"/>
      <c r="C172" s="34"/>
      <c r="D172" s="34"/>
    </row>
    <row r="173" spans="1:4" ht="20" x14ac:dyDescent="0.35">
      <c r="A173" s="103"/>
      <c r="B173" s="23"/>
      <c r="C173" s="34"/>
      <c r="D173" s="34"/>
    </row>
    <row r="174" spans="1:4" ht="20" x14ac:dyDescent="0.35">
      <c r="A174" s="103"/>
      <c r="B174" s="23"/>
      <c r="C174" s="34"/>
      <c r="D174" s="34"/>
    </row>
    <row r="175" spans="1:4" ht="20" x14ac:dyDescent="0.35">
      <c r="A175" s="103"/>
      <c r="B175" s="23"/>
      <c r="C175" s="34"/>
      <c r="D175" s="34"/>
    </row>
    <row r="176" spans="1:4" ht="20" x14ac:dyDescent="0.35">
      <c r="A176" s="103"/>
      <c r="B176" s="23"/>
      <c r="C176" s="34"/>
      <c r="D176" s="34"/>
    </row>
    <row r="177" spans="1:4" ht="20" x14ac:dyDescent="0.35">
      <c r="A177" s="103"/>
      <c r="B177" s="23"/>
      <c r="C177" s="34"/>
      <c r="D177" s="34"/>
    </row>
    <row r="178" spans="1:4" ht="20" x14ac:dyDescent="0.35">
      <c r="A178" s="103"/>
      <c r="B178" s="23"/>
      <c r="C178" s="34"/>
      <c r="D178" s="34"/>
    </row>
    <row r="179" spans="1:4" ht="20" x14ac:dyDescent="0.35">
      <c r="A179" s="103"/>
      <c r="B179" s="23"/>
      <c r="C179" s="34"/>
      <c r="D179" s="34"/>
    </row>
    <row r="180" spans="1:4" ht="20" x14ac:dyDescent="0.35">
      <c r="A180" s="103"/>
      <c r="B180" s="23"/>
      <c r="C180" s="34"/>
      <c r="D180" s="34"/>
    </row>
    <row r="181" spans="1:4" ht="20" x14ac:dyDescent="0.35">
      <c r="A181" s="103"/>
      <c r="B181" s="23"/>
      <c r="C181" s="34"/>
      <c r="D181" s="34"/>
    </row>
    <row r="182" spans="1:4" ht="20" x14ac:dyDescent="0.35">
      <c r="A182" s="103"/>
      <c r="B182" s="23"/>
      <c r="C182" s="34"/>
      <c r="D182" s="34"/>
    </row>
    <row r="183" spans="1:4" ht="20" x14ac:dyDescent="0.35">
      <c r="A183" s="103"/>
      <c r="B183" s="23"/>
      <c r="C183" s="34"/>
      <c r="D183" s="34"/>
    </row>
    <row r="184" spans="1:4" ht="20" x14ac:dyDescent="0.35">
      <c r="A184" s="103"/>
      <c r="B184" s="23"/>
      <c r="C184" s="34"/>
      <c r="D184" s="34"/>
    </row>
    <row r="185" spans="1:4" ht="20" x14ac:dyDescent="0.35">
      <c r="A185" s="103"/>
      <c r="B185" s="23"/>
      <c r="C185" s="34"/>
      <c r="D185" s="34"/>
    </row>
    <row r="186" spans="1:4" ht="20" x14ac:dyDescent="0.35">
      <c r="A186" s="103"/>
      <c r="B186" s="23"/>
      <c r="C186" s="34"/>
      <c r="D186" s="34"/>
    </row>
    <row r="187" spans="1:4" ht="20" x14ac:dyDescent="0.35">
      <c r="A187" s="103"/>
      <c r="B187" s="23"/>
      <c r="C187" s="34"/>
      <c r="D187" s="34"/>
    </row>
    <row r="188" spans="1:4" ht="20" x14ac:dyDescent="0.35">
      <c r="A188" s="103"/>
      <c r="B188" s="23"/>
      <c r="C188" s="34"/>
      <c r="D188" s="34"/>
    </row>
    <row r="189" spans="1:4" ht="20" x14ac:dyDescent="0.35">
      <c r="A189" s="103"/>
      <c r="B189" s="23"/>
      <c r="C189" s="34"/>
      <c r="D189" s="34"/>
    </row>
    <row r="190" spans="1:4" ht="20" x14ac:dyDescent="0.35">
      <c r="A190" s="103"/>
      <c r="B190" s="23"/>
      <c r="C190" s="34"/>
      <c r="D190" s="34"/>
    </row>
    <row r="191" spans="1:4" ht="20" x14ac:dyDescent="0.35">
      <c r="A191" s="103"/>
      <c r="B191" s="23"/>
      <c r="C191" s="34"/>
      <c r="D191" s="34"/>
    </row>
    <row r="192" spans="1:4" ht="20" x14ac:dyDescent="0.35">
      <c r="A192" s="103"/>
      <c r="B192" s="23"/>
      <c r="C192" s="34"/>
      <c r="D192" s="34"/>
    </row>
    <row r="193" spans="1:4" ht="20" x14ac:dyDescent="0.35">
      <c r="A193" s="103"/>
      <c r="B193" s="23"/>
      <c r="C193" s="34"/>
      <c r="D193" s="34"/>
    </row>
    <row r="194" spans="1:4" ht="20" x14ac:dyDescent="0.35">
      <c r="A194" s="103"/>
      <c r="B194" s="23"/>
      <c r="C194" s="34"/>
      <c r="D194" s="34"/>
    </row>
    <row r="195" spans="1:4" ht="20" x14ac:dyDescent="0.35">
      <c r="A195" s="103"/>
      <c r="B195" s="23"/>
      <c r="C195" s="34"/>
      <c r="D195" s="34"/>
    </row>
    <row r="196" spans="1:4" ht="20" x14ac:dyDescent="0.35">
      <c r="A196" s="103"/>
      <c r="B196" s="23"/>
      <c r="C196" s="34"/>
      <c r="D196" s="34"/>
    </row>
    <row r="197" spans="1:4" ht="20" x14ac:dyDescent="0.35">
      <c r="A197" s="103"/>
      <c r="B197" s="23"/>
      <c r="C197" s="34"/>
      <c r="D197" s="34"/>
    </row>
    <row r="198" spans="1:4" ht="20" x14ac:dyDescent="0.35">
      <c r="A198" s="103"/>
      <c r="B198" s="23"/>
      <c r="C198" s="34"/>
      <c r="D198" s="34"/>
    </row>
    <row r="199" spans="1:4" ht="20" x14ac:dyDescent="0.35">
      <c r="A199" s="103"/>
      <c r="B199" s="23"/>
      <c r="C199" s="34"/>
      <c r="D199" s="34"/>
    </row>
    <row r="200" spans="1:4" ht="20" x14ac:dyDescent="0.35">
      <c r="A200" s="103"/>
      <c r="B200" s="23"/>
      <c r="C200" s="34"/>
      <c r="D200" s="34"/>
    </row>
    <row r="201" spans="1:4" ht="20" x14ac:dyDescent="0.35">
      <c r="A201" s="103"/>
      <c r="B201" s="23"/>
      <c r="C201" s="34"/>
      <c r="D201" s="34"/>
    </row>
    <row r="202" spans="1:4" ht="20" x14ac:dyDescent="0.35">
      <c r="A202" s="103"/>
      <c r="B202" s="23"/>
      <c r="C202" s="34"/>
      <c r="D202" s="34"/>
    </row>
    <row r="203" spans="1:4" ht="20" x14ac:dyDescent="0.35">
      <c r="A203" s="103"/>
      <c r="B203" s="23"/>
      <c r="C203" s="34"/>
      <c r="D203" s="34"/>
    </row>
    <row r="204" spans="1:4" ht="20" x14ac:dyDescent="0.35">
      <c r="A204" s="103"/>
      <c r="B204" s="23"/>
      <c r="C204" s="34"/>
      <c r="D204" s="34"/>
    </row>
    <row r="205" spans="1:4" ht="20" x14ac:dyDescent="0.35">
      <c r="A205" s="103"/>
      <c r="B205" s="23"/>
      <c r="C205" s="34"/>
      <c r="D205" s="34"/>
    </row>
    <row r="206" spans="1:4" ht="20" x14ac:dyDescent="0.35">
      <c r="A206" s="103"/>
      <c r="B206" s="23"/>
      <c r="C206" s="34"/>
      <c r="D206" s="34"/>
    </row>
    <row r="207" spans="1:4" ht="20" x14ac:dyDescent="0.35">
      <c r="A207" s="103"/>
      <c r="B207" s="23"/>
      <c r="C207" s="34"/>
      <c r="D207" s="34"/>
    </row>
    <row r="208" spans="1:4" x14ac:dyDescent="0.35">
      <c r="A208" s="83"/>
      <c r="B208" s="23"/>
      <c r="C208" s="23"/>
      <c r="D208" s="23"/>
    </row>
    <row r="209" spans="1:8" ht="20" x14ac:dyDescent="0.35">
      <c r="A209" s="83"/>
      <c r="B209" s="30" t="s">
        <v>88</v>
      </c>
      <c r="C209" s="30" t="s">
        <v>144</v>
      </c>
      <c r="D209" s="33" t="s">
        <v>88</v>
      </c>
      <c r="E209" s="33" t="s">
        <v>144</v>
      </c>
    </row>
    <row r="210" spans="1:8" ht="21" x14ac:dyDescent="0.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5">
      <c r="A211" s="83"/>
      <c r="B211" s="31" t="s">
        <v>90</v>
      </c>
      <c r="C211" s="31" t="s">
        <v>93</v>
      </c>
      <c r="E211" t="s">
        <v>58</v>
      </c>
      <c r="F211" t="str">
        <f t="shared" ref="F211:F221" si="0">IF(NOT(ISBLANK(D211)),D211,IF(NOT(ISBLANK(E211)),"     "&amp;E211,FALSE))</f>
        <v xml:space="preserve">     Afectación menor a 10 SMLMV .</v>
      </c>
    </row>
    <row r="212" spans="1:8" ht="21" x14ac:dyDescent="0.5">
      <c r="A212" s="83"/>
      <c r="B212" s="31" t="s">
        <v>90</v>
      </c>
      <c r="C212" s="31" t="s">
        <v>94</v>
      </c>
      <c r="E212" t="s">
        <v>93</v>
      </c>
      <c r="F212" t="str">
        <f t="shared" si="0"/>
        <v xml:space="preserve">     Entre 10 y 50 SMLMV </v>
      </c>
    </row>
    <row r="213" spans="1:8" ht="21" x14ac:dyDescent="0.5">
      <c r="A213" s="83"/>
      <c r="B213" s="31" t="s">
        <v>90</v>
      </c>
      <c r="C213" s="31" t="s">
        <v>95</v>
      </c>
      <c r="E213" t="s">
        <v>94</v>
      </c>
      <c r="F213" t="str">
        <f t="shared" si="0"/>
        <v xml:space="preserve">     Entre 50 y 100 SMLMV </v>
      </c>
    </row>
    <row r="214" spans="1:8" ht="21" x14ac:dyDescent="0.5">
      <c r="A214" s="83"/>
      <c r="B214" s="31" t="s">
        <v>90</v>
      </c>
      <c r="C214" s="31" t="s">
        <v>96</v>
      </c>
      <c r="E214" t="s">
        <v>95</v>
      </c>
      <c r="F214" t="str">
        <f t="shared" si="0"/>
        <v xml:space="preserve">     Entre 100 y 500 SMLMV </v>
      </c>
    </row>
    <row r="215" spans="1:8" ht="21" x14ac:dyDescent="0.5">
      <c r="A215" s="83"/>
      <c r="B215" s="31" t="s">
        <v>57</v>
      </c>
      <c r="C215" s="31" t="s">
        <v>97</v>
      </c>
      <c r="E215" t="s">
        <v>96</v>
      </c>
      <c r="F215" t="str">
        <f t="shared" si="0"/>
        <v xml:space="preserve">     Mayor a 500 SMLMV </v>
      </c>
    </row>
    <row r="216" spans="1:8" ht="21" x14ac:dyDescent="0.5">
      <c r="A216" s="83"/>
      <c r="B216" s="31" t="s">
        <v>57</v>
      </c>
      <c r="C216" s="31" t="s">
        <v>98</v>
      </c>
      <c r="D216" t="s">
        <v>57</v>
      </c>
      <c r="F216" t="str">
        <f t="shared" si="0"/>
        <v>Pérdida Reputacional</v>
      </c>
    </row>
    <row r="217" spans="1:8" ht="21" x14ac:dyDescent="0.5">
      <c r="A217" s="83"/>
      <c r="B217" s="31" t="s">
        <v>57</v>
      </c>
      <c r="C217" s="31" t="s">
        <v>100</v>
      </c>
      <c r="E217" t="s">
        <v>97</v>
      </c>
      <c r="F217" t="str">
        <f t="shared" si="0"/>
        <v xml:space="preserve">     El riesgo afecta la imagen de alguna área de la organización</v>
      </c>
    </row>
    <row r="218" spans="1:8" ht="21" x14ac:dyDescent="0.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5">
      <c r="A219" s="83"/>
      <c r="B219" s="31" t="s">
        <v>57</v>
      </c>
      <c r="C219" s="31" t="s">
        <v>118</v>
      </c>
      <c r="E219" t="s">
        <v>100</v>
      </c>
      <c r="F219" t="str">
        <f t="shared" si="0"/>
        <v xml:space="preserve">     El riesgo afecta la imagen de la entidad con algunos usuarios de relevancia frente al logro de los objetivos</v>
      </c>
    </row>
    <row r="220" spans="1:8" x14ac:dyDescent="0.3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3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35">
      <c r="A222" s="83"/>
      <c r="B222" s="32" t="e">
        <f ca="1"/>
        <v>#NAME?</v>
      </c>
      <c r="C222" s="32"/>
    </row>
    <row r="223" spans="1:8" x14ac:dyDescent="0.35">
      <c r="B223" s="32" t="e">
        <f ca="1"/>
        <v>#NAME?</v>
      </c>
      <c r="C223" s="32"/>
      <c r="F223" s="35" t="s">
        <v>146</v>
      </c>
    </row>
    <row r="224" spans="1:8" x14ac:dyDescent="0.35">
      <c r="B224" s="22"/>
      <c r="C224" s="22"/>
      <c r="F224" s="35" t="s">
        <v>147</v>
      </c>
    </row>
    <row r="225" spans="2:4" x14ac:dyDescent="0.35">
      <c r="B225" s="22"/>
      <c r="C225" s="22"/>
    </row>
    <row r="226" spans="2:4" x14ac:dyDescent="0.35">
      <c r="B226" s="22"/>
      <c r="C226" s="22"/>
    </row>
    <row r="227" spans="2:4" x14ac:dyDescent="0.35">
      <c r="B227" s="22"/>
      <c r="C227" s="22"/>
      <c r="D227" s="22"/>
    </row>
    <row r="228" spans="2:4" x14ac:dyDescent="0.35">
      <c r="B228" s="22"/>
      <c r="C228" s="22"/>
      <c r="D228" s="22"/>
    </row>
    <row r="229" spans="2:4" x14ac:dyDescent="0.35">
      <c r="B229" s="22"/>
      <c r="C229" s="22"/>
      <c r="D229" s="22"/>
    </row>
    <row r="230" spans="2:4" x14ac:dyDescent="0.35">
      <c r="B230" s="22"/>
      <c r="C230" s="22"/>
      <c r="D230" s="22"/>
    </row>
    <row r="231" spans="2:4" x14ac:dyDescent="0.35">
      <c r="B231" s="22"/>
      <c r="C231" s="22"/>
      <c r="D231" s="22"/>
    </row>
    <row r="232" spans="2:4" x14ac:dyDescent="0.3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6953125" defaultRowHeight="13" x14ac:dyDescent="0.3"/>
  <cols>
    <col min="1" max="2" width="14.26953125" style="88"/>
    <col min="3" max="3" width="17" style="88" customWidth="1"/>
    <col min="4" max="4" width="14.26953125" style="88"/>
    <col min="5" max="5" width="46" style="88" customWidth="1"/>
    <col min="6" max="16384" width="14.26953125" style="88"/>
  </cols>
  <sheetData>
    <row r="1" spans="2:6" ht="24" customHeight="1" thickBot="1" x14ac:dyDescent="0.35">
      <c r="B1" s="388" t="s">
        <v>78</v>
      </c>
      <c r="C1" s="389"/>
      <c r="D1" s="389"/>
      <c r="E1" s="389"/>
      <c r="F1" s="390"/>
    </row>
    <row r="2" spans="2:6" ht="16" thickBot="1" x14ac:dyDescent="0.4">
      <c r="B2" s="89"/>
      <c r="C2" s="89"/>
      <c r="D2" s="89"/>
      <c r="E2" s="89"/>
      <c r="F2" s="89"/>
    </row>
    <row r="3" spans="2:6" ht="16" thickBot="1" x14ac:dyDescent="0.35">
      <c r="B3" s="392" t="s">
        <v>64</v>
      </c>
      <c r="C3" s="393"/>
      <c r="D3" s="393"/>
      <c r="E3" s="101" t="s">
        <v>65</v>
      </c>
      <c r="F3" s="102" t="s">
        <v>66</v>
      </c>
    </row>
    <row r="4" spans="2:6" ht="31" x14ac:dyDescent="0.3">
      <c r="B4" s="394" t="s">
        <v>67</v>
      </c>
      <c r="C4" s="396" t="s">
        <v>13</v>
      </c>
      <c r="D4" s="90" t="s">
        <v>14</v>
      </c>
      <c r="E4" s="91" t="s">
        <v>68</v>
      </c>
      <c r="F4" s="92">
        <v>0.25</v>
      </c>
    </row>
    <row r="5" spans="2:6" ht="46.5" x14ac:dyDescent="0.3">
      <c r="B5" s="395"/>
      <c r="C5" s="397"/>
      <c r="D5" s="93" t="s">
        <v>15</v>
      </c>
      <c r="E5" s="94" t="s">
        <v>69</v>
      </c>
      <c r="F5" s="95">
        <v>0.15</v>
      </c>
    </row>
    <row r="6" spans="2:6" ht="46.5" x14ac:dyDescent="0.3">
      <c r="B6" s="395"/>
      <c r="C6" s="397"/>
      <c r="D6" s="93" t="s">
        <v>16</v>
      </c>
      <c r="E6" s="94" t="s">
        <v>70</v>
      </c>
      <c r="F6" s="95">
        <v>0.1</v>
      </c>
    </row>
    <row r="7" spans="2:6" ht="62" x14ac:dyDescent="0.3">
      <c r="B7" s="395"/>
      <c r="C7" s="397" t="s">
        <v>17</v>
      </c>
      <c r="D7" s="93" t="s">
        <v>10</v>
      </c>
      <c r="E7" s="94" t="s">
        <v>71</v>
      </c>
      <c r="F7" s="95">
        <v>0.25</v>
      </c>
    </row>
    <row r="8" spans="2:6" ht="31" x14ac:dyDescent="0.3">
      <c r="B8" s="395"/>
      <c r="C8" s="397"/>
      <c r="D8" s="93" t="s">
        <v>9</v>
      </c>
      <c r="E8" s="94" t="s">
        <v>72</v>
      </c>
      <c r="F8" s="95">
        <v>0.15</v>
      </c>
    </row>
    <row r="9" spans="2:6" ht="46.5" x14ac:dyDescent="0.3">
      <c r="B9" s="395" t="s">
        <v>161</v>
      </c>
      <c r="C9" s="397" t="s">
        <v>18</v>
      </c>
      <c r="D9" s="93" t="s">
        <v>19</v>
      </c>
      <c r="E9" s="94" t="s">
        <v>73</v>
      </c>
      <c r="F9" s="96" t="s">
        <v>74</v>
      </c>
    </row>
    <row r="10" spans="2:6" ht="46.5" x14ac:dyDescent="0.3">
      <c r="B10" s="395"/>
      <c r="C10" s="397"/>
      <c r="D10" s="93" t="s">
        <v>20</v>
      </c>
      <c r="E10" s="94" t="s">
        <v>75</v>
      </c>
      <c r="F10" s="96" t="s">
        <v>74</v>
      </c>
    </row>
    <row r="11" spans="2:6" ht="46.5" x14ac:dyDescent="0.3">
      <c r="B11" s="395"/>
      <c r="C11" s="397" t="s">
        <v>21</v>
      </c>
      <c r="D11" s="93" t="s">
        <v>22</v>
      </c>
      <c r="E11" s="94" t="s">
        <v>76</v>
      </c>
      <c r="F11" s="96" t="s">
        <v>74</v>
      </c>
    </row>
    <row r="12" spans="2:6" ht="46.5" x14ac:dyDescent="0.3">
      <c r="B12" s="395"/>
      <c r="C12" s="397"/>
      <c r="D12" s="93" t="s">
        <v>23</v>
      </c>
      <c r="E12" s="94" t="s">
        <v>77</v>
      </c>
      <c r="F12" s="96" t="s">
        <v>74</v>
      </c>
    </row>
    <row r="13" spans="2:6" ht="31" x14ac:dyDescent="0.3">
      <c r="B13" s="395"/>
      <c r="C13" s="397" t="s">
        <v>24</v>
      </c>
      <c r="D13" s="93" t="s">
        <v>119</v>
      </c>
      <c r="E13" s="94" t="s">
        <v>122</v>
      </c>
      <c r="F13" s="96" t="s">
        <v>74</v>
      </c>
    </row>
    <row r="14" spans="2:6" ht="16" thickBot="1" x14ac:dyDescent="0.35">
      <c r="B14" s="398"/>
      <c r="C14" s="399"/>
      <c r="D14" s="97" t="s">
        <v>120</v>
      </c>
      <c r="E14" s="98" t="s">
        <v>121</v>
      </c>
      <c r="F14" s="99" t="s">
        <v>74</v>
      </c>
    </row>
    <row r="15" spans="2:6" ht="49.5" customHeight="1" x14ac:dyDescent="0.3">
      <c r="B15" s="391" t="s">
        <v>158</v>
      </c>
      <c r="C15" s="391"/>
      <c r="D15" s="391"/>
      <c r="E15" s="391"/>
      <c r="F15" s="391"/>
    </row>
    <row r="16" spans="2:6" ht="27" customHeight="1" x14ac:dyDescent="0.3">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4.5" x14ac:dyDescent="0.35"/>
  <sheetData>
    <row r="2" spans="2:5" x14ac:dyDescent="0.35">
      <c r="B2" t="s">
        <v>31</v>
      </c>
      <c r="E2" t="s">
        <v>133</v>
      </c>
    </row>
    <row r="3" spans="2:5" x14ac:dyDescent="0.35">
      <c r="B3" t="s">
        <v>32</v>
      </c>
      <c r="E3" t="s">
        <v>132</v>
      </c>
    </row>
    <row r="4" spans="2:5" x14ac:dyDescent="0.35">
      <c r="B4" t="s">
        <v>137</v>
      </c>
      <c r="E4" t="s">
        <v>134</v>
      </c>
    </row>
    <row r="5" spans="2:5" x14ac:dyDescent="0.35">
      <c r="B5" t="s">
        <v>136</v>
      </c>
    </row>
    <row r="8" spans="2:5" x14ac:dyDescent="0.35">
      <c r="B8" t="s">
        <v>86</v>
      </c>
    </row>
    <row r="9" spans="2:5" x14ac:dyDescent="0.35">
      <c r="B9" t="s">
        <v>40</v>
      </c>
    </row>
    <row r="10" spans="2:5" x14ac:dyDescent="0.35">
      <c r="B10" t="s">
        <v>41</v>
      </c>
    </row>
    <row r="13" spans="2:5" x14ac:dyDescent="0.35">
      <c r="B13" t="s">
        <v>129</v>
      </c>
    </row>
    <row r="14" spans="2:5" x14ac:dyDescent="0.35">
      <c r="B14" t="s">
        <v>123</v>
      </c>
    </row>
    <row r="15" spans="2:5" x14ac:dyDescent="0.35">
      <c r="B15" t="s">
        <v>126</v>
      </c>
    </row>
    <row r="16" spans="2:5" x14ac:dyDescent="0.35">
      <c r="B16" t="s">
        <v>124</v>
      </c>
    </row>
    <row r="17" spans="2:2" x14ac:dyDescent="0.35">
      <c r="B17" t="s">
        <v>125</v>
      </c>
    </row>
    <row r="18" spans="2:2" x14ac:dyDescent="0.35">
      <c r="B18" t="s">
        <v>127</v>
      </c>
    </row>
    <row r="19" spans="2:2" x14ac:dyDescent="0.3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36328125" defaultRowHeight="13" x14ac:dyDescent="0.3"/>
  <cols>
    <col min="1" max="1" width="32.81640625" style="9" customWidth="1"/>
    <col min="2" max="16384" width="11.363281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Liliana Inés Lamprea</cp:lastModifiedBy>
  <cp:lastPrinted>2023-07-14T21:54:35Z</cp:lastPrinted>
  <dcterms:created xsi:type="dcterms:W3CDTF">2020-03-24T23:12:47Z</dcterms:created>
  <dcterms:modified xsi:type="dcterms:W3CDTF">2024-03-13T23:35:26Z</dcterms:modified>
</cp:coreProperties>
</file>