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1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Q10" i="1"/>
  <c r="K27" i="1"/>
  <c r="K30" i="1"/>
  <c r="K24" i="1"/>
  <c r="K20" i="1"/>
  <c r="K26" i="1"/>
  <c r="K32" i="1"/>
  <c r="K25" i="1"/>
  <c r="K19" i="1"/>
  <c r="K34" i="1"/>
  <c r="K18" i="1"/>
  <c r="K28" i="1"/>
  <c r="K33" i="1"/>
  <c r="K21" i="1"/>
  <c r="K22" i="1"/>
  <c r="K31" i="1"/>
  <c r="F221" i="13" l="1"/>
  <c r="F211" i="13"/>
  <c r="F212" i="13"/>
  <c r="F213" i="13"/>
  <c r="F214" i="13"/>
  <c r="F215" i="13"/>
  <c r="F216" i="13"/>
  <c r="F217" i="13"/>
  <c r="F218" i="13"/>
  <c r="F219" i="13"/>
  <c r="F220" i="13"/>
  <c r="F210" i="13"/>
  <c r="B221" i="13" a="1"/>
  <c r="B221" i="13" l="1"/>
  <c r="Q1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4" i="1" l="1"/>
  <c r="Q34" i="1"/>
  <c r="T33" i="1"/>
  <c r="Q33" i="1"/>
  <c r="T32" i="1"/>
  <c r="Q32" i="1"/>
  <c r="T31" i="1"/>
  <c r="Q31" i="1"/>
  <c r="T30" i="1"/>
  <c r="Q30" i="1"/>
  <c r="T29" i="1"/>
  <c r="Q29" i="1"/>
  <c r="AB30" i="1" s="1"/>
  <c r="H29" i="1"/>
  <c r="I29" i="1" s="1"/>
  <c r="T28" i="1"/>
  <c r="Q28" i="1"/>
  <c r="T27" i="1"/>
  <c r="Q27" i="1"/>
  <c r="T26" i="1"/>
  <c r="Q26" i="1"/>
  <c r="T25" i="1"/>
  <c r="Q25" i="1"/>
  <c r="T24" i="1"/>
  <c r="Q24" i="1"/>
  <c r="T23" i="1"/>
  <c r="Q23" i="1"/>
  <c r="H23" i="1"/>
  <c r="I23" i="1" s="1"/>
  <c r="T22" i="1"/>
  <c r="Q22" i="1"/>
  <c r="T21" i="1"/>
  <c r="Q21" i="1"/>
  <c r="T20" i="1"/>
  <c r="Q20" i="1"/>
  <c r="T19" i="1"/>
  <c r="Q19" i="1"/>
  <c r="T18" i="1"/>
  <c r="Q18" i="1"/>
  <c r="AB18" i="1" s="1"/>
  <c r="T17" i="1"/>
  <c r="H17" i="1"/>
  <c r="I17" i="1" s="1"/>
  <c r="T16" i="1"/>
  <c r="Q16" i="1"/>
  <c r="I16" i="1"/>
  <c r="T15" i="1"/>
  <c r="Q15" i="1"/>
  <c r="I15" i="1"/>
  <c r="T14" i="1"/>
  <c r="Q14" i="1"/>
  <c r="I14" i="1"/>
  <c r="T13" i="1"/>
  <c r="Q13" i="1"/>
  <c r="I13" i="1"/>
  <c r="T12" i="1"/>
  <c r="Q12" i="1"/>
  <c r="I12" i="1"/>
  <c r="T11" i="1"/>
  <c r="Q11" i="1"/>
  <c r="AB24" i="1" l="1"/>
  <c r="I11" i="1"/>
  <c r="X11" i="1" s="1"/>
  <c r="X29" i="1"/>
  <c r="X23" i="1"/>
  <c r="X17" i="1"/>
  <c r="X16" i="1"/>
  <c r="X15" i="1"/>
  <c r="X14" i="1"/>
  <c r="X13" i="1"/>
  <c r="X12" i="1"/>
  <c r="Y29" i="1" l="1"/>
  <c r="Z29" i="1"/>
  <c r="X30" i="1" s="1"/>
  <c r="Y30" i="1" s="1"/>
  <c r="Y23" i="1"/>
  <c r="Z23" i="1"/>
  <c r="X24" i="1" s="1"/>
  <c r="Z24" i="1" s="1"/>
  <c r="X25" i="1" s="1"/>
  <c r="Y17" i="1"/>
  <c r="Z17" i="1"/>
  <c r="X18" i="1" s="1"/>
  <c r="Z18" i="1" s="1"/>
  <c r="X19" i="1" s="1"/>
  <c r="Y16" i="1"/>
  <c r="Z16" i="1"/>
  <c r="Y15" i="1"/>
  <c r="Z15" i="1"/>
  <c r="Y14" i="1"/>
  <c r="Z14" i="1"/>
  <c r="Y13" i="1"/>
  <c r="Z13" i="1"/>
  <c r="Y12" i="1"/>
  <c r="Z12" i="1"/>
  <c r="Y11" i="1"/>
  <c r="Z11" i="1"/>
  <c r="Y24" i="1" l="1"/>
  <c r="Y18" i="1"/>
  <c r="Z25" i="1"/>
  <c r="X26" i="1" s="1"/>
  <c r="Y25" i="1"/>
  <c r="Z19" i="1"/>
  <c r="X20" i="1" s="1"/>
  <c r="Y19" i="1"/>
  <c r="Z30" i="1"/>
  <c r="X31"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26" i="1" l="1"/>
  <c r="Z26" i="1"/>
  <c r="Y20" i="1"/>
  <c r="Z20" i="1"/>
  <c r="X21" i="1" s="1"/>
  <c r="Y31" i="1"/>
  <c r="Z31" i="1"/>
  <c r="X32" i="1" s="1"/>
  <c r="Y21" i="1" l="1"/>
  <c r="Z21" i="1"/>
  <c r="X22" i="1" s="1"/>
  <c r="X27" i="1"/>
  <c r="X28" i="1"/>
  <c r="Z32" i="1"/>
  <c r="Y32" i="1"/>
  <c r="Y28" i="1" l="1"/>
  <c r="Z28" i="1"/>
  <c r="Y27" i="1"/>
  <c r="Z27" i="1"/>
  <c r="Y22" i="1"/>
  <c r="Z22" i="1"/>
  <c r="X33" i="1"/>
  <c r="X34" i="1"/>
  <c r="X10" i="1"/>
  <c r="Y10" i="1" s="1"/>
  <c r="Y34" i="1" l="1"/>
  <c r="Z34" i="1"/>
  <c r="Y33" i="1"/>
  <c r="Z33" i="1"/>
  <c r="Z10" i="1" l="1"/>
  <c r="AB31" i="1" l="1"/>
  <c r="AB23" i="1"/>
  <c r="AB17" i="1"/>
  <c r="AA17" i="1" s="1"/>
  <c r="AB16" i="1"/>
  <c r="AA16" i="1" s="1"/>
  <c r="AC17"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23" i="1"/>
  <c r="AA30" i="1"/>
  <c r="AA31" i="1"/>
  <c r="AB32" i="1"/>
  <c r="V32" i="19"/>
  <c r="P42" i="19"/>
  <c r="J12" i="19"/>
  <c r="J32" i="19"/>
  <c r="AB52" i="19"/>
  <c r="AC16" i="1"/>
  <c r="J22" i="19"/>
  <c r="V22" i="19"/>
  <c r="J52" i="19"/>
  <c r="AH12" i="19"/>
  <c r="J42" i="19"/>
  <c r="AH42" i="19"/>
  <c r="P32" i="19"/>
  <c r="AB12" i="19"/>
  <c r="AH32" i="19"/>
  <c r="AB32" i="19"/>
  <c r="AB42" i="19"/>
  <c r="V42" i="19"/>
  <c r="V12" i="19"/>
  <c r="V52" i="19"/>
  <c r="AB22" i="19"/>
  <c r="AH52" i="19"/>
  <c r="AH22" i="19"/>
  <c r="P22" i="19"/>
  <c r="P12" i="19"/>
  <c r="P52" i="19"/>
  <c r="AA18" i="1"/>
  <c r="AB19" i="1"/>
  <c r="AA24" i="1"/>
  <c r="AB2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32" i="1"/>
  <c r="AB33" i="1"/>
  <c r="K35" i="19"/>
  <c r="AC25" i="19"/>
  <c r="K45" i="19"/>
  <c r="AI45" i="19"/>
  <c r="W45" i="19"/>
  <c r="Q35" i="19"/>
  <c r="K55" i="19"/>
  <c r="AC15" i="19"/>
  <c r="Q15" i="19"/>
  <c r="AC35" i="19"/>
  <c r="AI35" i="19"/>
  <c r="Q55" i="19"/>
  <c r="AI25" i="19"/>
  <c r="AC3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2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3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2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19" i="1"/>
  <c r="AB20"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25" i="1"/>
  <c r="AB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18"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20" i="1"/>
  <c r="AB21" i="1"/>
  <c r="AA33" i="1"/>
  <c r="AB34" i="1"/>
  <c r="AA3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19" i="1"/>
  <c r="X23" i="19"/>
  <c r="R33" i="19"/>
  <c r="R43" i="19"/>
  <c r="AD53" i="19"/>
  <c r="AJ13" i="19"/>
  <c r="R23" i="19"/>
  <c r="R13" i="19"/>
  <c r="AJ53" i="19"/>
  <c r="L33" i="19"/>
  <c r="L23" i="19"/>
  <c r="X43" i="19"/>
  <c r="X53" i="19"/>
  <c r="AD13" i="19"/>
  <c r="L53" i="19"/>
  <c r="L13" i="19"/>
  <c r="AD23" i="19"/>
  <c r="AJ33" i="19"/>
  <c r="AJ23" i="19"/>
  <c r="R53" i="19"/>
  <c r="M55" i="19"/>
  <c r="AK15" i="19"/>
  <c r="AE25" i="19"/>
  <c r="AC3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26" i="1"/>
  <c r="AB2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2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2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3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3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21" i="1"/>
  <c r="AB22" i="1"/>
  <c r="AA2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27" i="1"/>
  <c r="AB28" i="1"/>
  <c r="AA2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2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28" i="1"/>
  <c r="AA14" i="19"/>
  <c r="O54" i="19"/>
  <c r="U44" i="19"/>
  <c r="U43" i="19"/>
  <c r="U13" i="19"/>
  <c r="AM53" i="19"/>
  <c r="AA53" i="19"/>
  <c r="AA43" i="19"/>
  <c r="O53" i="19"/>
  <c r="O23" i="19"/>
  <c r="O13" i="19"/>
  <c r="AG43" i="19"/>
  <c r="U33" i="19"/>
  <c r="U23" i="19"/>
  <c r="AM13" i="19"/>
  <c r="AM23" i="19"/>
  <c r="AG13" i="19"/>
  <c r="AA23" i="19"/>
  <c r="AG33" i="19"/>
  <c r="AA33" i="19"/>
  <c r="AM33" i="19"/>
  <c r="AA13" i="19"/>
  <c r="AC2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27" i="1"/>
  <c r="AF53" i="19"/>
  <c r="T43" i="19"/>
  <c r="Z53" i="19"/>
  <c r="N43" i="19"/>
  <c r="T23" i="19"/>
  <c r="AF43" i="19"/>
  <c r="Z13" i="19"/>
  <c r="Z43" i="19"/>
  <c r="AF23" i="19"/>
  <c r="AL13" i="19"/>
  <c r="Z23" i="19"/>
  <c r="AL43" i="19"/>
  <c r="AF13" i="19"/>
  <c r="AL23" i="19"/>
  <c r="N13" i="19"/>
  <c r="T33" i="19"/>
  <c r="AL53" i="19"/>
  <c r="N23" i="19"/>
  <c r="N53" i="19"/>
  <c r="AF33" i="19"/>
  <c r="N33" i="19"/>
  <c r="AC2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5" i="1" l="1"/>
  <c r="K10" i="1"/>
  <c r="K13" i="1"/>
  <c r="K12" i="1"/>
  <c r="K17" i="1"/>
  <c r="L17" i="1" s="1"/>
  <c r="K16" i="1"/>
  <c r="K14" i="1"/>
  <c r="K11" i="1"/>
  <c r="K29" i="1"/>
  <c r="L29" i="1" s="1"/>
  <c r="K23" i="1"/>
  <c r="L23"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M16" i="1"/>
  <c r="J42" i="18"/>
  <c r="P34" i="18"/>
  <c r="AB18" i="18"/>
  <c r="AB42" i="18"/>
  <c r="AH34" i="18"/>
  <c r="P10" i="18"/>
  <c r="V34" i="18"/>
  <c r="P42" i="18"/>
  <c r="V42" i="18"/>
  <c r="AH42" i="18"/>
  <c r="AB26" i="18"/>
  <c r="AH26" i="18"/>
  <c r="V26" i="18"/>
  <c r="AB34" i="18"/>
  <c r="V10" i="18"/>
  <c r="AH18" i="18"/>
  <c r="J34" i="18"/>
  <c r="J10" i="18"/>
  <c r="AB10" i="18"/>
  <c r="J18" i="18"/>
  <c r="N16" i="1"/>
  <c r="P26" i="18"/>
  <c r="J26" i="18"/>
  <c r="AH10" i="18"/>
  <c r="P18" i="18"/>
  <c r="V18" i="18"/>
  <c r="X42" i="18"/>
  <c r="AD34" i="18"/>
  <c r="AD10" i="18"/>
  <c r="AD26" i="18"/>
  <c r="L10" i="18"/>
  <c r="L42" i="18"/>
  <c r="L26" i="18"/>
  <c r="X18" i="18"/>
  <c r="X34" i="18"/>
  <c r="X10" i="18"/>
  <c r="R18" i="18"/>
  <c r="AJ10" i="18"/>
  <c r="AD42" i="18"/>
  <c r="AJ34" i="18"/>
  <c r="R26" i="18"/>
  <c r="M17" i="1"/>
  <c r="L18" i="18"/>
  <c r="AJ26" i="18"/>
  <c r="AD18" i="18"/>
  <c r="R34" i="18"/>
  <c r="L34" i="18"/>
  <c r="AJ42" i="18"/>
  <c r="R10" i="18"/>
  <c r="R42" i="18"/>
  <c r="X26" i="18"/>
  <c r="AJ18" i="18"/>
  <c r="N17" i="1"/>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Z42" i="18"/>
  <c r="T18" i="18"/>
  <c r="AF34" i="18"/>
  <c r="AF42" i="18"/>
  <c r="N42" i="18"/>
  <c r="Z18" i="18"/>
  <c r="AL10" i="18"/>
  <c r="AL26" i="18"/>
  <c r="AF26" i="18"/>
  <c r="Z10" i="18"/>
  <c r="N18" i="18"/>
  <c r="T26" i="18"/>
  <c r="AF10" i="18"/>
  <c r="T34" i="18"/>
  <c r="N26" i="18"/>
  <c r="AL18" i="18"/>
  <c r="N10" i="18"/>
  <c r="AF18" i="18"/>
  <c r="Z26" i="18"/>
  <c r="AL34" i="18"/>
  <c r="M23" i="1"/>
  <c r="Z34" i="18"/>
  <c r="T10" i="18"/>
  <c r="N23"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29" i="1"/>
  <c r="P12" i="18"/>
  <c r="AH20" i="18"/>
  <c r="P44" i="18"/>
  <c r="AB12" i="18"/>
  <c r="P20" i="18"/>
  <c r="J36" i="18"/>
  <c r="P36" i="18"/>
  <c r="AB44" i="18"/>
  <c r="V44" i="18"/>
  <c r="J28" i="18"/>
  <c r="AH36" i="18"/>
  <c r="V12" i="18"/>
  <c r="V28" i="18"/>
  <c r="AH44" i="18"/>
  <c r="AB20" i="18"/>
  <c r="AB36" i="18"/>
  <c r="AH28" i="18"/>
  <c r="V36" i="18"/>
  <c r="V20" i="18"/>
  <c r="M29" i="1"/>
  <c r="AB29" i="1" s="1"/>
  <c r="AA29" i="1" s="1"/>
  <c r="J12" i="18"/>
  <c r="AF24" i="18"/>
  <c r="AF32" i="18"/>
  <c r="T40" i="18"/>
  <c r="M15" i="1"/>
  <c r="AB15" i="1" s="1"/>
  <c r="AA15" i="1" s="1"/>
  <c r="Z40" i="18"/>
  <c r="AL8" i="18"/>
  <c r="AF8" i="18"/>
  <c r="T8" i="18"/>
  <c r="Z16" i="18"/>
  <c r="T24" i="18"/>
  <c r="AL24" i="18"/>
  <c r="Z32" i="18"/>
  <c r="N32" i="18"/>
  <c r="N16" i="18"/>
  <c r="Z8" i="18"/>
  <c r="AL40" i="18"/>
  <c r="N8" i="18"/>
  <c r="N24" i="18"/>
  <c r="T32" i="18"/>
  <c r="T16" i="18"/>
  <c r="AF40" i="18"/>
  <c r="AF16" i="18"/>
  <c r="AL32" i="18"/>
  <c r="N40" i="18"/>
  <c r="Z24" i="18"/>
  <c r="AL16" i="18"/>
  <c r="N15" i="1"/>
  <c r="J11" i="19" l="1"/>
  <c r="AB21" i="19"/>
  <c r="J31" i="19"/>
  <c r="AC15" i="1"/>
  <c r="P41" i="19"/>
  <c r="AB31" i="19"/>
  <c r="P21" i="19"/>
  <c r="V31" i="19"/>
  <c r="AB11" i="19"/>
  <c r="V21" i="19"/>
  <c r="V51" i="19"/>
  <c r="AH51" i="19"/>
  <c r="J41" i="19"/>
  <c r="V11" i="19"/>
  <c r="P31" i="19"/>
  <c r="AB41" i="19"/>
  <c r="AH41" i="19"/>
  <c r="J21" i="19"/>
  <c r="AB51" i="19"/>
  <c r="V41" i="19"/>
  <c r="AH21" i="19"/>
  <c r="P51" i="19"/>
  <c r="AH31" i="19"/>
  <c r="J51" i="19"/>
  <c r="AH11" i="19"/>
  <c r="P11" i="19"/>
  <c r="J40" i="19"/>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29"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<sst xmlns="http://schemas.openxmlformats.org/spreadsheetml/2006/main" count="427" uniqueCount="245">
  <si>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</si>
  <si>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</si>
  <si>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</si>
  <si>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</si>
  <si>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</si>
  <si>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</si>
  <si>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</si>
  <si>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</si>
  <si>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</si>
  <si>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</si>
  <si>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</si>
  <si>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</si>
  <si>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</si>
  <si>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</si>
  <si>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</si>
  <si>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</si>
  <si>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</si>
  <si>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</si>
  <si>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</si>
  <si>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</si>
  <si>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</si>
  <si>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</si>
  <si>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</si>
  <si>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</si>
  <si>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</si>
  <si>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</si>
  <si>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</si>
  <si>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</si>
  <si>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</si>
  <si>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</si>
  <si>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</si>
  <si>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</si>
  <si>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</si>
  <si>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</si>
  <si>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</si>
  <si>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</si>
  <si>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</si>
  <si>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</si>
  <si>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</si>
  <si>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</si>
  <si>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</si>
  <si>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</si>
  <si>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</si>
  <si>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</si>
  <si>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</si>
  <si>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</si>
  <si>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</si>
  <si>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</si>
  <si>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</si>
  <si>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</si>
  <si>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</si>
  <si>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</si>
  <si>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</si>
  <si>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</si>
  <si>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</si>
  <si>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</si>
  <si>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</si>
  <si>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</si>
  <si>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</si>
  <si>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</si>
  <si>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</si>
  <si>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</si>
  <si>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</si>
  <si>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</si>
  <si>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</si>
  <si>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</si>
  <si>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</si>
  <si>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</si>
  <si>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</si>
  <si>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</si>
  <si>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</si>
  <si>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</si>
  <si>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</si>
  <si>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</si>
  <si>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</si>
  <si>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</si>
  <si>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</si>
  <si>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</si>
  <si>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</si>
  <si>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</si>
  <si>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</si>
  <si>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</si>
  <si>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</si>
  <si>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</si>
  <si>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</si>
  <si>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</si>
  <si>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</si>
  <si>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</si>
  <si>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</si>
  <si>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</si>
  <si>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</si>
  <si>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</si>
  <si>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</si>
  <si>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</si>
  <si>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</si>
  <si>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</si>
  <si>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</si>
  <si>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</si>
  <si>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</si>
  <si>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</si>
  <si>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</si>
  <si>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</si>
  <si>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</si>
  <si>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</si>
  <si>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</si>
  <si>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</si>
  <si>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</si>
  <si>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</si>
  <si>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</si>
  <si>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</si>
  <si>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</si>
  <si>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</si>
  <si>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</si>
  <si>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</si>
  <si>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</si>
  <si>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</si>
  <si>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</si>
  <si>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</si>
  <si>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</si>
  <si>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</si>
  <si>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</si>
  <si>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</si>
  <si>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</si>
  <si>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</si>
  <si>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</si>
  <si>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</si>
  <si>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</si>
  <si>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</si>
  <si>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</si>
  <si>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</si>
  <si>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</si>
  <si>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</si>
  <si>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</si>
  <si>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</si>
  <si>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</si>
  <si>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</si>
  <si>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</si>
  <si>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</si>
  <si>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</si>
  <si>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</si>
  <si>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</si>
  <si>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</si>
  <si>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</si>
  <si>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</si>
  <si>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</si>
  <si>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</si>
  <si>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</si>
  <si>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</si>
  <si>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</si>
  <si>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</si>
  <si>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</si>
  <si>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</si>
  <si>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</si>
  <si>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</si>
  <si>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</si>
  <si>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</si>
  <si>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</si>
  <si>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</si>
  <si>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</si>
  <si>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</si>
  <si>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</si>
  <si>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</si>
  <si>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</si>
  <si>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</si>
  <si>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</si>
  <si>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</si>
  <si>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</si>
  <si>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</si>
  <si>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</si>
  <si>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</si>
  <si>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</si>
  <si>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</si>
  <si>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</si>
  <si>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</si>
  <si>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</si>
  <si>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</si>
  <si>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</si>
  <si>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</si>
  <si>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</si>
  <si>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</si>
  <si>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</si>
  <si>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</si>
  <si>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</si>
  <si>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</si>
  <si>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</si>
  <si>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</si>
  <si>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</si>
  <si>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</si>
  <si>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</si>
  <si>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</si>
  <si>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</si>
  <si>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</si>
  <si>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</si>
  <si>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</si>
  <si>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</si>
  <si>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</si>
  <si>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</si>
  <si>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</si>
  <si>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</si>
  <si>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</si>
  <si>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</si>
  <si>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</si>
  <si>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</si>
  <si>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</si>
  <si>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</si>
  <si>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</si>
  <si>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</si>
  <si>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</si>
  <si>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</si>
  <si>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</si>
  <si>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</si>
  <si>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</si>
  <si>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</si>
  <si>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</si>
  <si>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TECNOLOGICA</t>
  </si>
  <si>
    <t>PLANEAR, ORGANIZAR, COORDINAR Y CONTROLAR LOS COMPONENTES RELACIONADOS CON LA PLATAFORMA TECNOLÓGICA DE LA EDAT S.A. E.S.P. OFICIAL, ASESORAR Y ACOMPAÑAR A LAS DIFERENTES DEPENDENCIAS EN LA ADECUADA UTILIZACIÓN DEL HARDWARE, SOFTWARE Y LAS COMUNICACIONES, NECESARIAS PARA EL CUMPLIMIENTO DE LA MISIÓN INSTITUCIONAL.</t>
  </si>
  <si>
    <t xml:space="preserve">Inicia con la planeación de las actividades y culmina con el seguimiento y evaluación del proceso          
</t>
  </si>
  <si>
    <t>DEBILIDADES EN LOS NIVELES DE SEGURIDAD DE LA INFORMACIÓN QUE SE  MANEJA EN LA ORGANIZACIÓN                           DESCRIPCION                                      'El manejo de la información que se tiene en la entidad, presenta bastantes inconvenientes de protección de datos, perdida y modificación non- autorizada, no se garantiza la confidencialidad, integridad y la disponibilidad de los datos.</t>
  </si>
  <si>
    <t xml:space="preserve">Perdida de documentación por deterioro ambiental. Daño en los discos duros de los computadores por los repentinos cambios de voltajes dentro de la entidad. Manejo  </t>
  </si>
  <si>
    <t>ANUAL</t>
  </si>
  <si>
    <t>MEDIA</t>
  </si>
  <si>
    <t>ALTA</t>
  </si>
  <si>
    <t>MAYOR</t>
  </si>
  <si>
    <t>Caracterización del Proceso de Gestión Tecnológica, documentos y formatos para su operación
Politicas de Seguridad de la Información
PETIC actualizado</t>
  </si>
  <si>
    <t>Secretaría General - Equipo Gestión Tecnológica</t>
  </si>
  <si>
    <t>Junio a Diciembre 2022</t>
  </si>
  <si>
    <t xml:space="preserve">SABOTAJE                           DESCRIPCION                                    'Se puede evidenciar cuando el personal de contratistas que cumplen su periodo laboral dentro de la entidad se va y no se deja un backup de la información y de los multiples procesos que manejó en el periodo en el que laboro dentro de la entidad. </t>
  </si>
  <si>
    <t>Perdida de información valioza para los diferentes procesos que se llevan al interior de la entidad. Perdida de documentación que no ha sido digitalizada en los diferentes procesos contractuales.</t>
  </si>
  <si>
    <t>VIGENCIA</t>
  </si>
  <si>
    <t>MODERADO</t>
  </si>
  <si>
    <t xml:space="preserve">                  CABLEADO ELECTRICO ES BASTANTE DEFECTUOSO Y ANTIGUO DENTRO DE LA ORGANIZACIÓN                                  DESCRIPCION                                        'Se presenta por multiples fallas en la infraestructura electrica dentro de la edificación lo cual hace que constantemente se presenten cortes y deterioro de los elementos como toma corrientes.  </t>
  </si>
  <si>
    <t xml:space="preserve">Corto circuitos en los toma corriente. Cableado deficiente y antiguo. </t>
  </si>
  <si>
    <t>DEBILIDADES EN LA ACTUALIZACIÓN E IMPLEMENTACIÓN DE  POLÍTICAS DE SEGURIDAD DE LA INFORMACIÓN Y PETIC  DESCRIPCION                                     'En la entidad no hay un manual de seguridad de la información, no existen políticas de seguridad de la información y hasta ahora se esta diseñando el PETIC</t>
  </si>
  <si>
    <t>La falta de políticas de seguridad de la información. Mal manejo de la información dentro de la organización. Actualizar y mejorar el PETIC.</t>
  </si>
  <si>
    <t>FALLAS EN SISTEMAS DE INFORMACIÓN O EQUIPOS DE COMUNICACIONES                   DESCRIPCION                                         'Fallas en los distintos sistemas de información o equipos de comunicación requeridos por la entidad.</t>
  </si>
  <si>
    <t xml:space="preserve">Fallas en la comunicación de las diferentes dependencias de la entidad.  </t>
  </si>
  <si>
    <t>Implementación de los proyectos definidos en el PETIC de la Entidad, según las áreas responsables y tiempos establecidos</t>
  </si>
  <si>
    <t>Actualización de las políticas de seguridad de la información  y el PETIC</t>
  </si>
  <si>
    <t xml:space="preserve">CUMPLIMIENTO DE LA NORMATIVIDAD LEGAL DESCRIPCION                                         Debido a los cambios que se estan presentando constantemente en la normatividad de la gestión tecnológica, se presentan fallas de conocimiento y de actualización de dichas nuevas normas y leyes. </t>
  </si>
  <si>
    <t>Cambios Normativos
Rotación del personal</t>
  </si>
  <si>
    <t>BAJA</t>
  </si>
  <si>
    <t>MENOR</t>
  </si>
  <si>
    <t>Actualización permanente del Normograma del proceso</t>
  </si>
  <si>
    <t>FALTA DE SERVIDORES PARA SALVAGUARDAR LA INFORMACIÓN   DESRIPCION                                              'Debido a la fatal de de servidores tanto fisico como virtuales para realizar las respectivas copias de seguridad o Backups de la información de la entidad, por parte del área de sistemas.</t>
  </si>
  <si>
    <t xml:space="preserve">La falta de que la entidad realice la compra de uno o varios servidores para que sea haga un eficiente manejo de la información y su salvaguarda para evitar perdidas de dicha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</si>
</sst>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9" fillId="3" borderId="33" xfId="0" quotePrefix="1" applyFont="1" applyFill="1" applyBorder="1" applyAlignment="1">
      <alignment horizontal="center" vertical="center" wrapText="1"/>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center" vertical="center" wrapText="1"/>
      <protection locked="0"/>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7" fillId="3" borderId="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72971</xdr:colOff>
      <xdr:row>2</xdr:row>
      <xdr:rowOff>163286</xdr:rowOff>
    </xdr:from>
    <xdr:to>
      <xdr:col>22</xdr:col>
      <xdr:colOff>334736</xdr:colOff>
      <xdr:row>5</xdr:row>
      <xdr:rowOff>478972</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8407" y="683838"/>
          <a:ext cx="1889876" cy="123496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71" t="s">
        <v>166</v>
      </c>
      <c r="C2" s="172"/>
      <c r="D2" s="172"/>
      <c r="E2" s="172"/>
      <c r="F2" s="172"/>
      <c r="G2" s="172"/>
      <c r="H2" s="173"/>
    </row>
    <row r="3" spans="2:8" x14ac:dyDescent="0.25">
      <c r="B3" s="85"/>
      <c r="C3" s="86"/>
      <c r="D3" s="86"/>
      <c r="E3" s="86"/>
      <c r="F3" s="86"/>
      <c r="G3" s="86"/>
      <c r="H3" s="87"/>
    </row>
    <row r="4" spans="2:8" ht="63" customHeight="1" x14ac:dyDescent="0.25">
      <c r="B4" s="174" t="s">
        <v>209</v>
      </c>
      <c r="C4" s="175"/>
      <c r="D4" s="175"/>
      <c r="E4" s="175"/>
      <c r="F4" s="175"/>
      <c r="G4" s="175"/>
      <c r="H4" s="176"/>
    </row>
    <row r="5" spans="2:8" ht="63" customHeight="1" x14ac:dyDescent="0.25">
      <c r="B5" s="177"/>
      <c r="C5" s="178"/>
      <c r="D5" s="178"/>
      <c r="E5" s="178"/>
      <c r="F5" s="178"/>
      <c r="G5" s="178"/>
      <c r="H5" s="179"/>
    </row>
    <row r="6" spans="2:8" ht="16.5" x14ac:dyDescent="0.25">
      <c r="B6" s="180" t="s">
        <v>164</v>
      </c>
      <c r="C6" s="181"/>
      <c r="D6" s="181"/>
      <c r="E6" s="181"/>
      <c r="F6" s="181"/>
      <c r="G6" s="181"/>
      <c r="H6" s="182"/>
    </row>
    <row r="7" spans="2:8" ht="95.25" customHeight="1" x14ac:dyDescent="0.25">
      <c r="B7" s="190" t="s">
        <v>169</v>
      </c>
      <c r="C7" s="191"/>
      <c r="D7" s="191"/>
      <c r="E7" s="191"/>
      <c r="F7" s="191"/>
      <c r="G7" s="191"/>
      <c r="H7" s="192"/>
    </row>
    <row r="8" spans="2:8" ht="16.5" x14ac:dyDescent="0.25">
      <c r="B8" s="122"/>
      <c r="C8" s="123"/>
      <c r="D8" s="123"/>
      <c r="E8" s="123"/>
      <c r="F8" s="123"/>
      <c r="G8" s="123"/>
      <c r="H8" s="124"/>
    </row>
    <row r="9" spans="2:8" ht="16.5" customHeight="1" x14ac:dyDescent="0.25">
      <c r="B9" s="183" t="s">
        <v>202</v>
      </c>
      <c r="C9" s="184"/>
      <c r="D9" s="184"/>
      <c r="E9" s="184"/>
      <c r="F9" s="184"/>
      <c r="G9" s="184"/>
      <c r="H9" s="185"/>
    </row>
    <row r="10" spans="2:8" ht="44.25" customHeight="1" x14ac:dyDescent="0.25">
      <c r="B10" s="183"/>
      <c r="C10" s="184"/>
      <c r="D10" s="184"/>
      <c r="E10" s="184"/>
      <c r="F10" s="184"/>
      <c r="G10" s="184"/>
      <c r="H10" s="185"/>
    </row>
    <row r="11" spans="2:8" ht="15.75" thickBot="1" x14ac:dyDescent="0.3">
      <c r="B11" s="110"/>
      <c r="C11" s="113"/>
      <c r="D11" s="118"/>
      <c r="E11" s="119"/>
      <c r="F11" s="119"/>
      <c r="G11" s="120"/>
      <c r="H11" s="121"/>
    </row>
    <row r="12" spans="2:8" ht="15.75" thickTop="1" x14ac:dyDescent="0.25">
      <c r="B12" s="110"/>
      <c r="C12" s="186" t="s">
        <v>165</v>
      </c>
      <c r="D12" s="187"/>
      <c r="E12" s="188" t="s">
        <v>203</v>
      </c>
      <c r="F12" s="189"/>
      <c r="G12" s="113"/>
      <c r="H12" s="114"/>
    </row>
    <row r="13" spans="2:8" ht="35.25" customHeight="1" x14ac:dyDescent="0.25">
      <c r="B13" s="110"/>
      <c r="C13" s="158" t="s">
        <v>196</v>
      </c>
      <c r="D13" s="159"/>
      <c r="E13" s="160" t="s">
        <v>201</v>
      </c>
      <c r="F13" s="161"/>
      <c r="G13" s="113"/>
      <c r="H13" s="114"/>
    </row>
    <row r="14" spans="2:8" ht="17.25" customHeight="1" x14ac:dyDescent="0.25">
      <c r="B14" s="110"/>
      <c r="C14" s="158" t="s">
        <v>197</v>
      </c>
      <c r="D14" s="159"/>
      <c r="E14" s="160" t="s">
        <v>199</v>
      </c>
      <c r="F14" s="161"/>
      <c r="G14" s="113"/>
      <c r="H14" s="114"/>
    </row>
    <row r="15" spans="2:8" ht="19.5" customHeight="1" x14ac:dyDescent="0.25">
      <c r="B15" s="110"/>
      <c r="C15" s="158" t="s">
        <v>198</v>
      </c>
      <c r="D15" s="159"/>
      <c r="E15" s="160" t="s">
        <v>200</v>
      </c>
      <c r="F15" s="161"/>
      <c r="G15" s="113"/>
      <c r="H15" s="114"/>
    </row>
    <row r="16" spans="2:8" ht="69.75" customHeight="1" x14ac:dyDescent="0.25">
      <c r="B16" s="110"/>
      <c r="C16" s="158" t="s">
        <v>167</v>
      </c>
      <c r="D16" s="159"/>
      <c r="E16" s="160" t="s">
        <v>168</v>
      </c>
      <c r="F16" s="161"/>
      <c r="G16" s="113"/>
      <c r="H16" s="114"/>
    </row>
    <row r="17" spans="2:8" ht="34.5" customHeight="1" x14ac:dyDescent="0.25">
      <c r="B17" s="110"/>
      <c r="C17" s="162" t="s">
        <v>2</v>
      </c>
      <c r="D17" s="163"/>
      <c r="E17" s="154" t="s">
        <v>210</v>
      </c>
      <c r="F17" s="155"/>
      <c r="G17" s="113"/>
      <c r="H17" s="114"/>
    </row>
    <row r="18" spans="2:8" ht="27.75" customHeight="1" x14ac:dyDescent="0.25">
      <c r="B18" s="110"/>
      <c r="C18" s="162" t="s">
        <v>3</v>
      </c>
      <c r="D18" s="163"/>
      <c r="E18" s="154" t="s">
        <v>211</v>
      </c>
      <c r="F18" s="155"/>
      <c r="G18" s="113"/>
      <c r="H18" s="114"/>
    </row>
    <row r="19" spans="2:8" ht="28.5" customHeight="1" x14ac:dyDescent="0.25">
      <c r="B19" s="110"/>
      <c r="C19" s="162" t="s">
        <v>42</v>
      </c>
      <c r="D19" s="163"/>
      <c r="E19" s="154" t="s">
        <v>212</v>
      </c>
      <c r="F19" s="155"/>
      <c r="G19" s="113"/>
      <c r="H19" s="114"/>
    </row>
    <row r="20" spans="2:8" ht="72.75" customHeight="1" x14ac:dyDescent="0.25">
      <c r="B20" s="110"/>
      <c r="C20" s="162" t="s">
        <v>1</v>
      </c>
      <c r="D20" s="163"/>
      <c r="E20" s="154" t="s">
        <v>213</v>
      </c>
      <c r="F20" s="155"/>
      <c r="G20" s="113"/>
      <c r="H20" s="114"/>
    </row>
    <row r="21" spans="2:8" ht="64.5" customHeight="1" x14ac:dyDescent="0.25">
      <c r="B21" s="110"/>
      <c r="C21" s="162" t="s">
        <v>50</v>
      </c>
      <c r="D21" s="163"/>
      <c r="E21" s="154" t="s">
        <v>171</v>
      </c>
      <c r="F21" s="155"/>
      <c r="G21" s="113"/>
      <c r="H21" s="114"/>
    </row>
    <row r="22" spans="2:8" ht="71.25" customHeight="1" x14ac:dyDescent="0.25">
      <c r="B22" s="110"/>
      <c r="C22" s="162" t="s">
        <v>170</v>
      </c>
      <c r="D22" s="163"/>
      <c r="E22" s="154" t="s">
        <v>172</v>
      </c>
      <c r="F22" s="155"/>
      <c r="G22" s="113"/>
      <c r="H22" s="114"/>
    </row>
    <row r="23" spans="2:8" ht="55.5" customHeight="1" x14ac:dyDescent="0.25">
      <c r="B23" s="110"/>
      <c r="C23" s="156" t="s">
        <v>173</v>
      </c>
      <c r="D23" s="157"/>
      <c r="E23" s="154" t="s">
        <v>174</v>
      </c>
      <c r="F23" s="155"/>
      <c r="G23" s="113"/>
      <c r="H23" s="114"/>
    </row>
    <row r="24" spans="2:8" ht="42" customHeight="1" x14ac:dyDescent="0.25">
      <c r="B24" s="110"/>
      <c r="C24" s="156" t="s">
        <v>48</v>
      </c>
      <c r="D24" s="157"/>
      <c r="E24" s="154" t="s">
        <v>175</v>
      </c>
      <c r="F24" s="155"/>
      <c r="G24" s="113"/>
      <c r="H24" s="114"/>
    </row>
    <row r="25" spans="2:8" ht="59.25" customHeight="1" x14ac:dyDescent="0.25">
      <c r="B25" s="110"/>
      <c r="C25" s="156" t="s">
        <v>163</v>
      </c>
      <c r="D25" s="157"/>
      <c r="E25" s="154" t="s">
        <v>176</v>
      </c>
      <c r="F25" s="155"/>
      <c r="G25" s="113"/>
      <c r="H25" s="114"/>
    </row>
    <row r="26" spans="2:8" ht="23.25" customHeight="1" x14ac:dyDescent="0.25">
      <c r="B26" s="110"/>
      <c r="C26" s="156" t="s">
        <v>12</v>
      </c>
      <c r="D26" s="157"/>
      <c r="E26" s="154" t="s">
        <v>177</v>
      </c>
      <c r="F26" s="155"/>
      <c r="G26" s="113"/>
      <c r="H26" s="114"/>
    </row>
    <row r="27" spans="2:8" ht="30.75" customHeight="1" x14ac:dyDescent="0.25">
      <c r="B27" s="110"/>
      <c r="C27" s="156" t="s">
        <v>181</v>
      </c>
      <c r="D27" s="157"/>
      <c r="E27" s="154" t="s">
        <v>178</v>
      </c>
      <c r="F27" s="155"/>
      <c r="G27" s="113"/>
      <c r="H27" s="114"/>
    </row>
    <row r="28" spans="2:8" ht="35.25" customHeight="1" x14ac:dyDescent="0.25">
      <c r="B28" s="110"/>
      <c r="C28" s="156" t="s">
        <v>182</v>
      </c>
      <c r="D28" s="157"/>
      <c r="E28" s="154" t="s">
        <v>179</v>
      </c>
      <c r="F28" s="155"/>
      <c r="G28" s="113"/>
      <c r="H28" s="114"/>
    </row>
    <row r="29" spans="2:8" ht="33" customHeight="1" x14ac:dyDescent="0.25">
      <c r="B29" s="110"/>
      <c r="C29" s="156" t="s">
        <v>182</v>
      </c>
      <c r="D29" s="157"/>
      <c r="E29" s="154" t="s">
        <v>179</v>
      </c>
      <c r="F29" s="155"/>
      <c r="G29" s="113"/>
      <c r="H29" s="114"/>
    </row>
    <row r="30" spans="2:8" ht="30" customHeight="1" x14ac:dyDescent="0.25">
      <c r="B30" s="110"/>
      <c r="C30" s="156" t="s">
        <v>183</v>
      </c>
      <c r="D30" s="157"/>
      <c r="E30" s="154" t="s">
        <v>180</v>
      </c>
      <c r="F30" s="155"/>
      <c r="G30" s="113"/>
      <c r="H30" s="114"/>
    </row>
    <row r="31" spans="2:8" ht="35.25" customHeight="1" x14ac:dyDescent="0.25">
      <c r="B31" s="110"/>
      <c r="C31" s="156" t="s">
        <v>184</v>
      </c>
      <c r="D31" s="157"/>
      <c r="E31" s="154" t="s">
        <v>185</v>
      </c>
      <c r="F31" s="155"/>
      <c r="G31" s="113"/>
      <c r="H31" s="114"/>
    </row>
    <row r="32" spans="2:8" ht="31.5" customHeight="1" x14ac:dyDescent="0.25">
      <c r="B32" s="110"/>
      <c r="C32" s="156" t="s">
        <v>186</v>
      </c>
      <c r="D32" s="157"/>
      <c r="E32" s="154" t="s">
        <v>187</v>
      </c>
      <c r="F32" s="155"/>
      <c r="G32" s="113"/>
      <c r="H32" s="114"/>
    </row>
    <row r="33" spans="2:8" ht="35.25" customHeight="1" x14ac:dyDescent="0.25">
      <c r="B33" s="110"/>
      <c r="C33" s="156" t="s">
        <v>188</v>
      </c>
      <c r="D33" s="157"/>
      <c r="E33" s="154" t="s">
        <v>189</v>
      </c>
      <c r="F33" s="155"/>
      <c r="G33" s="113"/>
      <c r="H33" s="114"/>
    </row>
    <row r="34" spans="2:8" ht="59.25" customHeight="1" x14ac:dyDescent="0.25">
      <c r="B34" s="110"/>
      <c r="C34" s="156" t="s">
        <v>190</v>
      </c>
      <c r="D34" s="157"/>
      <c r="E34" s="154" t="s">
        <v>191</v>
      </c>
      <c r="F34" s="155"/>
      <c r="G34" s="113"/>
      <c r="H34" s="114"/>
    </row>
    <row r="35" spans="2:8" ht="29.25" customHeight="1" x14ac:dyDescent="0.25">
      <c r="B35" s="110"/>
      <c r="C35" s="156" t="s">
        <v>29</v>
      </c>
      <c r="D35" s="157"/>
      <c r="E35" s="154" t="s">
        <v>192</v>
      </c>
      <c r="F35" s="155"/>
      <c r="G35" s="113"/>
      <c r="H35" s="114"/>
    </row>
    <row r="36" spans="2:8" ht="82.5" customHeight="1" x14ac:dyDescent="0.25">
      <c r="B36" s="110"/>
      <c r="C36" s="156" t="s">
        <v>194</v>
      </c>
      <c r="D36" s="157"/>
      <c r="E36" s="154" t="s">
        <v>193</v>
      </c>
      <c r="F36" s="155"/>
      <c r="G36" s="113"/>
      <c r="H36" s="114"/>
    </row>
    <row r="37" spans="2:8" ht="46.5" customHeight="1" x14ac:dyDescent="0.25">
      <c r="B37" s="110"/>
      <c r="C37" s="156" t="s">
        <v>39</v>
      </c>
      <c r="D37" s="157"/>
      <c r="E37" s="154" t="s">
        <v>195</v>
      </c>
      <c r="F37" s="155"/>
      <c r="G37" s="113"/>
      <c r="H37" s="114"/>
    </row>
    <row r="38" spans="2:8" ht="6.75" customHeight="1" thickBot="1" x14ac:dyDescent="0.3">
      <c r="B38" s="110"/>
      <c r="C38" s="167"/>
      <c r="D38" s="168"/>
      <c r="E38" s="169"/>
      <c r="F38" s="170"/>
      <c r="G38" s="113"/>
      <c r="H38" s="114"/>
    </row>
    <row r="39" spans="2:8" ht="15.75" thickTop="1" x14ac:dyDescent="0.25">
      <c r="B39" s="110"/>
      <c r="C39" s="111"/>
      <c r="D39" s="111"/>
      <c r="E39" s="112"/>
      <c r="F39" s="112"/>
      <c r="G39" s="113"/>
      <c r="H39" s="114"/>
    </row>
    <row r="40" spans="2:8" ht="21" customHeight="1" x14ac:dyDescent="0.25">
      <c r="B40" s="164" t="s">
        <v>204</v>
      </c>
      <c r="C40" s="165"/>
      <c r="D40" s="165"/>
      <c r="E40" s="165"/>
      <c r="F40" s="165"/>
      <c r="G40" s="165"/>
      <c r="H40" s="166"/>
    </row>
    <row r="41" spans="2:8" ht="20.25" customHeight="1" x14ac:dyDescent="0.25">
      <c r="B41" s="164" t="s">
        <v>205</v>
      </c>
      <c r="C41" s="165"/>
      <c r="D41" s="165"/>
      <c r="E41" s="165"/>
      <c r="F41" s="165"/>
      <c r="G41" s="165"/>
      <c r="H41" s="166"/>
    </row>
    <row r="42" spans="2:8" ht="20.25" customHeight="1" x14ac:dyDescent="0.25">
      <c r="B42" s="164" t="s">
        <v>206</v>
      </c>
      <c r="C42" s="165"/>
      <c r="D42" s="165"/>
      <c r="E42" s="165"/>
      <c r="F42" s="165"/>
      <c r="G42" s="165"/>
      <c r="H42" s="166"/>
    </row>
    <row r="43" spans="2:8" ht="20.25" customHeight="1" x14ac:dyDescent="0.25">
      <c r="B43" s="164" t="s">
        <v>207</v>
      </c>
      <c r="C43" s="165"/>
      <c r="D43" s="165"/>
      <c r="E43" s="165"/>
      <c r="F43" s="165"/>
      <c r="G43" s="165"/>
      <c r="H43" s="166"/>
    </row>
    <row r="44" spans="2:8" x14ac:dyDescent="0.25">
      <c r="B44" s="164" t="s">
        <v>208</v>
      </c>
      <c r="C44" s="165"/>
      <c r="D44" s="165"/>
      <c r="E44" s="165"/>
      <c r="F44" s="165"/>
      <c r="G44" s="165"/>
      <c r="H44" s="166"/>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37"/>
  <sheetViews>
    <sheetView tabSelected="1" topLeftCell="F1" zoomScale="86" zoomScaleNormal="86" workbookViewId="0">
      <selection activeCell="C4" sqref="C4:N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20.140625" style="2" customWidth="1"/>
    <col min="5" max="5" width="32.42578125" style="1" customWidth="1"/>
    <col min="6" max="6" width="19" style="5" customWidth="1"/>
    <col min="7" max="7" width="12.5703125" style="1" customWidth="1"/>
    <col min="8" max="8" width="16.5703125" style="1" customWidth="1"/>
    <col min="9" max="9" width="6.28515625" style="1" bestFit="1" customWidth="1"/>
    <col min="10" max="10" width="23.42578125" style="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21" t="s">
        <v>144</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4"/>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37" t="s">
        <v>43</v>
      </c>
      <c r="B4" s="238"/>
      <c r="C4" s="404" t="s">
        <v>214</v>
      </c>
      <c r="D4" s="405"/>
      <c r="E4" s="405"/>
      <c r="F4" s="405"/>
      <c r="G4" s="405"/>
      <c r="H4" s="405"/>
      <c r="I4" s="405"/>
      <c r="J4" s="405"/>
      <c r="K4" s="405"/>
      <c r="L4" s="405"/>
      <c r="M4" s="405"/>
      <c r="N4" s="406"/>
      <c r="O4" s="220"/>
      <c r="P4" s="220"/>
      <c r="Q4" s="22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37" t="s">
        <v>130</v>
      </c>
      <c r="B5" s="238"/>
      <c r="C5" s="245" t="s">
        <v>215</v>
      </c>
      <c r="D5" s="246"/>
      <c r="E5" s="246"/>
      <c r="F5" s="246"/>
      <c r="G5" s="246"/>
      <c r="H5" s="246"/>
      <c r="I5" s="246"/>
      <c r="J5" s="246"/>
      <c r="K5" s="246"/>
      <c r="L5" s="246"/>
      <c r="M5" s="246"/>
      <c r="N5" s="246"/>
      <c r="O5" s="246"/>
      <c r="P5" s="246"/>
      <c r="Q5" s="247"/>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37" t="s">
        <v>44</v>
      </c>
      <c r="B6" s="238"/>
      <c r="C6" s="232" t="s">
        <v>216</v>
      </c>
      <c r="D6" s="233"/>
      <c r="E6" s="233"/>
      <c r="F6" s="233"/>
      <c r="G6" s="233"/>
      <c r="H6" s="233"/>
      <c r="I6" s="233"/>
      <c r="J6" s="233"/>
      <c r="K6" s="233"/>
      <c r="L6" s="233"/>
      <c r="M6" s="233"/>
      <c r="N6" s="234"/>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27" t="s">
        <v>139</v>
      </c>
      <c r="B7" s="228"/>
      <c r="C7" s="228"/>
      <c r="D7" s="228"/>
      <c r="E7" s="228"/>
      <c r="F7" s="228"/>
      <c r="G7" s="229"/>
      <c r="H7" s="227" t="s">
        <v>140</v>
      </c>
      <c r="I7" s="228"/>
      <c r="J7" s="228"/>
      <c r="K7" s="228"/>
      <c r="L7" s="228"/>
      <c r="M7" s="228"/>
      <c r="N7" s="229"/>
      <c r="O7" s="227" t="s">
        <v>141</v>
      </c>
      <c r="P7" s="228"/>
      <c r="Q7" s="228"/>
      <c r="R7" s="228"/>
      <c r="S7" s="228"/>
      <c r="T7" s="228"/>
      <c r="U7" s="228"/>
      <c r="V7" s="228"/>
      <c r="W7" s="229"/>
      <c r="X7" s="227" t="s">
        <v>142</v>
      </c>
      <c r="Y7" s="228"/>
      <c r="Z7" s="228"/>
      <c r="AA7" s="228"/>
      <c r="AB7" s="228"/>
      <c r="AC7" s="228"/>
      <c r="AD7" s="229"/>
      <c r="AE7" s="227" t="s">
        <v>34</v>
      </c>
      <c r="AF7" s="228"/>
      <c r="AG7" s="228"/>
      <c r="AH7" s="228"/>
      <c r="AI7" s="228"/>
      <c r="AJ7" s="22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9" t="s">
        <v>0</v>
      </c>
      <c r="B8" s="244" t="s">
        <v>2</v>
      </c>
      <c r="C8" s="242" t="s">
        <v>3</v>
      </c>
      <c r="D8" s="242" t="s">
        <v>42</v>
      </c>
      <c r="E8" s="243" t="s">
        <v>1</v>
      </c>
      <c r="F8" s="241" t="s">
        <v>50</v>
      </c>
      <c r="G8" s="242" t="s">
        <v>135</v>
      </c>
      <c r="H8" s="248" t="s">
        <v>33</v>
      </c>
      <c r="I8" s="249" t="s">
        <v>5</v>
      </c>
      <c r="J8" s="241" t="s">
        <v>87</v>
      </c>
      <c r="K8" s="241" t="s">
        <v>92</v>
      </c>
      <c r="L8" s="251" t="s">
        <v>45</v>
      </c>
      <c r="M8" s="249" t="s">
        <v>5</v>
      </c>
      <c r="N8" s="242" t="s">
        <v>48</v>
      </c>
      <c r="O8" s="230" t="s">
        <v>11</v>
      </c>
      <c r="P8" s="236" t="s">
        <v>163</v>
      </c>
      <c r="Q8" s="241" t="s">
        <v>12</v>
      </c>
      <c r="R8" s="236" t="s">
        <v>8</v>
      </c>
      <c r="S8" s="236"/>
      <c r="T8" s="236"/>
      <c r="U8" s="236"/>
      <c r="V8" s="236"/>
      <c r="W8" s="236"/>
      <c r="X8" s="235" t="s">
        <v>138</v>
      </c>
      <c r="Y8" s="235" t="s">
        <v>46</v>
      </c>
      <c r="Z8" s="235" t="s">
        <v>5</v>
      </c>
      <c r="AA8" s="235" t="s">
        <v>47</v>
      </c>
      <c r="AB8" s="235" t="s">
        <v>5</v>
      </c>
      <c r="AC8" s="235" t="s">
        <v>49</v>
      </c>
      <c r="AD8" s="230" t="s">
        <v>29</v>
      </c>
      <c r="AE8" s="236" t="s">
        <v>34</v>
      </c>
      <c r="AF8" s="236" t="s">
        <v>35</v>
      </c>
      <c r="AG8" s="236" t="s">
        <v>36</v>
      </c>
      <c r="AH8" s="236" t="s">
        <v>38</v>
      </c>
      <c r="AI8" s="236" t="s">
        <v>37</v>
      </c>
      <c r="AJ8" s="23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40"/>
      <c r="B9" s="244"/>
      <c r="C9" s="236"/>
      <c r="D9" s="236"/>
      <c r="E9" s="244"/>
      <c r="F9" s="242"/>
      <c r="G9" s="236"/>
      <c r="H9" s="242"/>
      <c r="I9" s="250"/>
      <c r="J9" s="242"/>
      <c r="K9" s="242"/>
      <c r="L9" s="250"/>
      <c r="M9" s="250"/>
      <c r="N9" s="236"/>
      <c r="O9" s="231"/>
      <c r="P9" s="236"/>
      <c r="Q9" s="242"/>
      <c r="R9" s="7" t="s">
        <v>13</v>
      </c>
      <c r="S9" s="7" t="s">
        <v>17</v>
      </c>
      <c r="T9" s="7" t="s">
        <v>28</v>
      </c>
      <c r="U9" s="7" t="s">
        <v>18</v>
      </c>
      <c r="V9" s="7" t="s">
        <v>21</v>
      </c>
      <c r="W9" s="7" t="s">
        <v>24</v>
      </c>
      <c r="X9" s="235"/>
      <c r="Y9" s="235"/>
      <c r="Z9" s="235"/>
      <c r="AA9" s="235"/>
      <c r="AB9" s="235"/>
      <c r="AC9" s="235"/>
      <c r="AD9" s="231"/>
      <c r="AE9" s="236"/>
      <c r="AF9" s="236"/>
      <c r="AG9" s="236"/>
      <c r="AH9" s="236"/>
      <c r="AI9" s="236"/>
      <c r="AJ9" s="23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18.25" customHeight="1" x14ac:dyDescent="0.25">
      <c r="A10" s="143">
        <v>1</v>
      </c>
      <c r="B10" s="140" t="s">
        <v>132</v>
      </c>
      <c r="C10" s="140"/>
      <c r="D10" s="140" t="s">
        <v>218</v>
      </c>
      <c r="E10" s="144" t="s">
        <v>217</v>
      </c>
      <c r="F10" s="140" t="s">
        <v>123</v>
      </c>
      <c r="G10" s="141" t="s">
        <v>219</v>
      </c>
      <c r="H10" s="142" t="s">
        <v>220</v>
      </c>
      <c r="I10" s="146">
        <f t="shared" ref="I10:I17" si="0">IF(H10="","",IF(H10="Muy Baja",0.2,IF(H10="Baja",0.4,IF(H10="Media",0.6,IF(H10="Alta",0.8,IF(H10="Muy Alta",1,))))))</f>
        <v>0.6</v>
      </c>
      <c r="J10" s="147"/>
      <c r="K10" s="146">
        <f>IF(NOT(ISERROR(MATCH(J10,'Tabla Impacto'!$B$221:$B$223,0))),'Tabla Impacto'!$F$223&amp;"Por favor no seleccionar los criterios de impacto(Afectación Económica o presupuestal y Pérdida Reputacional)",J10)</f>
        <v>0</v>
      </c>
      <c r="L10" s="142" t="s">
        <v>222</v>
      </c>
      <c r="M10" s="146">
        <f t="shared" ref="M10:M17" si="1">IF(L10="","",IF(L10="Leve",0.2,IF(L10="Menor",0.4,IF(L10="Moderado",0.6,IF(L10="Mayor",0.8,IF(L10="Catastrófico",1,))))))</f>
        <v>0.8</v>
      </c>
      <c r="N10" s="145" t="str">
        <f t="shared" ref="N10:N17"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8" t="s">
        <v>223</v>
      </c>
      <c r="Q10" s="127" t="str">
        <f t="shared" ref="Q10:Q19" si="3">IF(OR(R10="Preventivo",R10="Detectivo"),"Probabilidad",IF(R10="Correctivo","Impacto",""))</f>
        <v>Impacto</v>
      </c>
      <c r="R10" s="128" t="s">
        <v>16</v>
      </c>
      <c r="S10" s="128" t="s">
        <v>9</v>
      </c>
      <c r="T10" s="129" t="str">
        <f t="shared" ref="T10:T17" si="4">IF(AND(R10="Preventivo",S10="Automático"),"50%",IF(AND(R10="Preventivo",S10="Manual"),"40%",IF(AND(R10="Detectivo",S10="Automático"),"40%",IF(AND(R10="Detectivo",S10="Manual"),"30%",IF(AND(R10="Correctivo",S10="Automático"),"35%",IF(AND(R10="Correctivo",S10="Manual"),"25%",""))))))</f>
        <v>25%</v>
      </c>
      <c r="U10" s="128" t="s">
        <v>20</v>
      </c>
      <c r="V10" s="128" t="s">
        <v>22</v>
      </c>
      <c r="W10" s="128" t="s">
        <v>120</v>
      </c>
      <c r="X10" s="130">
        <f t="shared" ref="X10:X17" si="5">IFERROR(IF(Q10="Probabilidad",(I10-(+I10*T10)),IF(Q10="Impacto",I10,"")),"")</f>
        <v>0.6</v>
      </c>
      <c r="Y10" s="131" t="str">
        <f t="shared" ref="Y10:Y17" si="6">IFERROR(IF(X10="","",IF(X10&lt;=0.2,"Muy Baja",IF(X10&lt;=0.4,"Baja",IF(X10&lt;=0.6,"Media",IF(X10&lt;=0.8,"Alta","Muy Alta"))))),"")</f>
        <v>Media</v>
      </c>
      <c r="Z10" s="132">
        <f t="shared" ref="Z10:Z17" si="7">+X10</f>
        <v>0.6</v>
      </c>
      <c r="AA10" s="131" t="str">
        <f t="shared" ref="AA10:AA17" si="8">IFERROR(IF(AB10="","",IF(AB10&lt;=0.2,"Leve",IF(AB10&lt;=0.4,"Menor",IF(AB10&lt;=0.6,"Moderado",IF(AB10&lt;=0.8,"Mayor","Catastrófico"))))),"")</f>
        <v>Moderado</v>
      </c>
      <c r="AB10" s="132">
        <f t="shared" ref="AB10:AB17" si="9">IFERROR(IF(Q10="Impacto",(M10-(+M10*T10)),IF(Q10="Probabilidad",M10,"")),"")</f>
        <v>0.60000000000000009</v>
      </c>
      <c r="AC10" s="133" t="str">
        <f t="shared" ref="AC10:AC17" si="10">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48" t="s">
        <v>236</v>
      </c>
      <c r="AF10" s="149" t="s">
        <v>224</v>
      </c>
      <c r="AG10" s="149" t="s">
        <v>225</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5.25" customHeight="1" x14ac:dyDescent="0.3">
      <c r="A11" s="143">
        <v>2</v>
      </c>
      <c r="B11" s="140" t="s">
        <v>132</v>
      </c>
      <c r="C11" s="140"/>
      <c r="D11" s="140" t="s">
        <v>227</v>
      </c>
      <c r="E11" s="144" t="s">
        <v>226</v>
      </c>
      <c r="F11" s="140" t="s">
        <v>123</v>
      </c>
      <c r="G11" s="141" t="s">
        <v>228</v>
      </c>
      <c r="H11" s="142" t="s">
        <v>220</v>
      </c>
      <c r="I11" s="146">
        <f t="shared" si="0"/>
        <v>0.6</v>
      </c>
      <c r="J11" s="147"/>
      <c r="K11" s="146">
        <f>IF(NOT(ISERROR(MATCH(J11,'Tabla Impacto'!$B$221:$B$223,0))),'Tabla Impacto'!$F$223&amp;"Por favor no seleccionar los criterios de impacto(Afectación Económica o presupuestal y Pérdida Reputacional)",J11)</f>
        <v>0</v>
      </c>
      <c r="L11" s="142" t="s">
        <v>229</v>
      </c>
      <c r="M11" s="146">
        <f t="shared" si="1"/>
        <v>0.6</v>
      </c>
      <c r="N11" s="145" t="str">
        <f t="shared" si="2"/>
        <v>Moderado</v>
      </c>
      <c r="O11" s="125">
        <v>1</v>
      </c>
      <c r="P11" s="148" t="s">
        <v>223</v>
      </c>
      <c r="Q11" s="127" t="str">
        <f t="shared" si="3"/>
        <v>Impacto</v>
      </c>
      <c r="R11" s="128" t="s">
        <v>16</v>
      </c>
      <c r="S11" s="128" t="s">
        <v>9</v>
      </c>
      <c r="T11" s="129" t="str">
        <f t="shared" si="4"/>
        <v>25%</v>
      </c>
      <c r="U11" s="128" t="s">
        <v>20</v>
      </c>
      <c r="V11" s="128" t="s">
        <v>22</v>
      </c>
      <c r="W11" s="128" t="s">
        <v>120</v>
      </c>
      <c r="X11" s="130">
        <f t="shared" si="5"/>
        <v>0.6</v>
      </c>
      <c r="Y11" s="131" t="str">
        <f t="shared" si="6"/>
        <v>Media</v>
      </c>
      <c r="Z11" s="132">
        <f t="shared" si="7"/>
        <v>0.6</v>
      </c>
      <c r="AA11" s="131" t="str">
        <f t="shared" si="8"/>
        <v>Moderado</v>
      </c>
      <c r="AB11" s="139">
        <f t="shared" si="9"/>
        <v>0.44999999999999996</v>
      </c>
      <c r="AC11" s="133" t="str">
        <f t="shared" si="10"/>
        <v>Moderado</v>
      </c>
      <c r="AD11" s="134" t="s">
        <v>136</v>
      </c>
      <c r="AE11" s="148" t="s">
        <v>236</v>
      </c>
      <c r="AF11" s="149" t="s">
        <v>224</v>
      </c>
      <c r="AG11" s="149" t="s">
        <v>225</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
      <c r="A12" s="143">
        <v>3</v>
      </c>
      <c r="B12" s="140" t="s">
        <v>132</v>
      </c>
      <c r="C12" s="140"/>
      <c r="D12" s="140" t="s">
        <v>231</v>
      </c>
      <c r="E12" s="144" t="s">
        <v>230</v>
      </c>
      <c r="F12" s="140" t="s">
        <v>123</v>
      </c>
      <c r="G12" s="141" t="s">
        <v>228</v>
      </c>
      <c r="H12" s="142" t="s">
        <v>221</v>
      </c>
      <c r="I12" s="146">
        <f t="shared" si="0"/>
        <v>0.8</v>
      </c>
      <c r="J12" s="147"/>
      <c r="K12" s="146">
        <f>IF(NOT(ISERROR(MATCH(J12,'Tabla Impacto'!$B$221:$B$223,0))),'Tabla Impacto'!$F$223&amp;"Por favor no seleccionar los criterios de impacto(Afectación Económica o presupuestal y Pérdida Reputacional)",J12)</f>
        <v>0</v>
      </c>
      <c r="L12" s="142" t="s">
        <v>229</v>
      </c>
      <c r="M12" s="146">
        <f t="shared" si="1"/>
        <v>0.6</v>
      </c>
      <c r="N12" s="145" t="str">
        <f t="shared" si="2"/>
        <v>Alto</v>
      </c>
      <c r="O12" s="125">
        <v>1</v>
      </c>
      <c r="P12" s="148" t="s">
        <v>223</v>
      </c>
      <c r="Q12" s="127" t="str">
        <f t="shared" si="3"/>
        <v>Probabilidad</v>
      </c>
      <c r="R12" s="128" t="s">
        <v>15</v>
      </c>
      <c r="S12" s="128" t="s">
        <v>9</v>
      </c>
      <c r="T12" s="129" t="str">
        <f t="shared" si="4"/>
        <v>30%</v>
      </c>
      <c r="U12" s="128" t="s">
        <v>20</v>
      </c>
      <c r="V12" s="128" t="s">
        <v>22</v>
      </c>
      <c r="W12" s="128" t="s">
        <v>120</v>
      </c>
      <c r="X12" s="130">
        <f t="shared" si="5"/>
        <v>0.56000000000000005</v>
      </c>
      <c r="Y12" s="131" t="str">
        <f t="shared" si="6"/>
        <v>Media</v>
      </c>
      <c r="Z12" s="132">
        <f t="shared" si="7"/>
        <v>0.56000000000000005</v>
      </c>
      <c r="AA12" s="131" t="str">
        <f t="shared" si="8"/>
        <v>Moderado</v>
      </c>
      <c r="AB12" s="139">
        <f t="shared" si="9"/>
        <v>0.6</v>
      </c>
      <c r="AC12" s="133" t="str">
        <f t="shared" si="10"/>
        <v>Moderado</v>
      </c>
      <c r="AD12" s="134" t="s">
        <v>136</v>
      </c>
      <c r="AE12" s="148" t="s">
        <v>236</v>
      </c>
      <c r="AF12" s="149" t="s">
        <v>224</v>
      </c>
      <c r="AG12" s="149" t="s">
        <v>225</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40.75" customHeight="1" x14ac:dyDescent="0.3">
      <c r="A13" s="143">
        <v>4</v>
      </c>
      <c r="B13" s="140" t="s">
        <v>132</v>
      </c>
      <c r="C13" s="140"/>
      <c r="D13" s="140" t="s">
        <v>233</v>
      </c>
      <c r="E13" s="144" t="s">
        <v>232</v>
      </c>
      <c r="F13" s="140" t="s">
        <v>123</v>
      </c>
      <c r="G13" s="141" t="s">
        <v>228</v>
      </c>
      <c r="H13" s="142" t="s">
        <v>221</v>
      </c>
      <c r="I13" s="146">
        <f t="shared" si="0"/>
        <v>0.8</v>
      </c>
      <c r="J13" s="147"/>
      <c r="K13" s="146">
        <f>IF(NOT(ISERROR(MATCH(J13,'Tabla Impacto'!$B$221:$B$223,0))),'Tabla Impacto'!$F$223&amp;"Por favor no seleccionar los criterios de impacto(Afectación Económica o presupuestal y Pérdida Reputacional)",J13)</f>
        <v>0</v>
      </c>
      <c r="L13" s="142" t="s">
        <v>222</v>
      </c>
      <c r="M13" s="146">
        <f t="shared" si="1"/>
        <v>0.8</v>
      </c>
      <c r="N13" s="145" t="str">
        <f t="shared" si="2"/>
        <v>Alto</v>
      </c>
      <c r="O13" s="125">
        <v>1</v>
      </c>
      <c r="P13" s="148" t="s">
        <v>223</v>
      </c>
      <c r="Q13" s="127" t="str">
        <f t="shared" si="3"/>
        <v>Impacto</v>
      </c>
      <c r="R13" s="128" t="s">
        <v>16</v>
      </c>
      <c r="S13" s="128" t="s">
        <v>9</v>
      </c>
      <c r="T13" s="129" t="str">
        <f t="shared" si="4"/>
        <v>25%</v>
      </c>
      <c r="U13" s="128" t="s">
        <v>20</v>
      </c>
      <c r="V13" s="128" t="s">
        <v>22</v>
      </c>
      <c r="W13" s="128" t="s">
        <v>120</v>
      </c>
      <c r="X13" s="130">
        <f t="shared" si="5"/>
        <v>0.8</v>
      </c>
      <c r="Y13" s="131" t="str">
        <f t="shared" si="6"/>
        <v>Alta</v>
      </c>
      <c r="Z13" s="132">
        <f t="shared" si="7"/>
        <v>0.8</v>
      </c>
      <c r="AA13" s="131" t="str">
        <f t="shared" si="8"/>
        <v>Moderado</v>
      </c>
      <c r="AB13" s="139">
        <f t="shared" si="9"/>
        <v>0.60000000000000009</v>
      </c>
      <c r="AC13" s="133" t="str">
        <f t="shared" si="10"/>
        <v>Alto</v>
      </c>
      <c r="AD13" s="134" t="s">
        <v>136</v>
      </c>
      <c r="AE13" s="150" t="s">
        <v>237</v>
      </c>
      <c r="AF13" s="149" t="s">
        <v>224</v>
      </c>
      <c r="AG13" s="149" t="s">
        <v>225</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0.75" customHeight="1" x14ac:dyDescent="0.3">
      <c r="A14" s="143">
        <v>5</v>
      </c>
      <c r="B14" s="140" t="s">
        <v>132</v>
      </c>
      <c r="C14" s="140"/>
      <c r="D14" s="140" t="s">
        <v>235</v>
      </c>
      <c r="E14" s="144" t="s">
        <v>234</v>
      </c>
      <c r="F14" s="140" t="s">
        <v>123</v>
      </c>
      <c r="G14" s="141" t="s">
        <v>228</v>
      </c>
      <c r="H14" s="142" t="s">
        <v>221</v>
      </c>
      <c r="I14" s="146">
        <f t="shared" si="0"/>
        <v>0.8</v>
      </c>
      <c r="J14" s="147"/>
      <c r="K14" s="146">
        <f>IF(NOT(ISERROR(MATCH(J14,'Tabla Impacto'!$B$221:$B$223,0))),'Tabla Impacto'!$F$223&amp;"Por favor no seleccionar los criterios de impacto(Afectación Económica o presupuestal y Pérdida Reputacional)",J14)</f>
        <v>0</v>
      </c>
      <c r="L14" s="142" t="s">
        <v>222</v>
      </c>
      <c r="M14" s="146">
        <f t="shared" si="1"/>
        <v>0.8</v>
      </c>
      <c r="N14" s="145" t="str">
        <f t="shared" si="2"/>
        <v>Alto</v>
      </c>
      <c r="O14" s="125">
        <v>1</v>
      </c>
      <c r="P14" s="148" t="s">
        <v>223</v>
      </c>
      <c r="Q14" s="127" t="str">
        <f t="shared" si="3"/>
        <v>Impacto</v>
      </c>
      <c r="R14" s="128" t="s">
        <v>16</v>
      </c>
      <c r="S14" s="128" t="s">
        <v>9</v>
      </c>
      <c r="T14" s="129" t="str">
        <f t="shared" si="4"/>
        <v>25%</v>
      </c>
      <c r="U14" s="128" t="s">
        <v>20</v>
      </c>
      <c r="V14" s="128" t="s">
        <v>22</v>
      </c>
      <c r="W14" s="128" t="s">
        <v>120</v>
      </c>
      <c r="X14" s="130">
        <f t="shared" si="5"/>
        <v>0.8</v>
      </c>
      <c r="Y14" s="131" t="str">
        <f t="shared" si="6"/>
        <v>Alta</v>
      </c>
      <c r="Z14" s="132">
        <f t="shared" si="7"/>
        <v>0.8</v>
      </c>
      <c r="AA14" s="131" t="str">
        <f t="shared" si="8"/>
        <v>Moderado</v>
      </c>
      <c r="AB14" s="139">
        <f t="shared" si="9"/>
        <v>0.60000000000000009</v>
      </c>
      <c r="AC14" s="133" t="str">
        <f t="shared" si="10"/>
        <v>Alto</v>
      </c>
      <c r="AD14" s="134" t="s">
        <v>136</v>
      </c>
      <c r="AE14" s="148" t="s">
        <v>236</v>
      </c>
      <c r="AF14" s="149" t="s">
        <v>224</v>
      </c>
      <c r="AG14" s="149" t="s">
        <v>225</v>
      </c>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3" customHeight="1" x14ac:dyDescent="0.3">
      <c r="A15" s="143">
        <v>6</v>
      </c>
      <c r="B15" s="140" t="s">
        <v>132</v>
      </c>
      <c r="C15" s="140"/>
      <c r="D15" s="140" t="s">
        <v>239</v>
      </c>
      <c r="E15" s="152" t="s">
        <v>238</v>
      </c>
      <c r="F15" s="140" t="s">
        <v>123</v>
      </c>
      <c r="G15" s="141" t="s">
        <v>219</v>
      </c>
      <c r="H15" s="142" t="s">
        <v>240</v>
      </c>
      <c r="I15" s="146">
        <f t="shared" si="0"/>
        <v>0.4</v>
      </c>
      <c r="J15" s="147"/>
      <c r="K15" s="146">
        <f>IF(NOT(ISERROR(MATCH(J15,'Tabla Impacto'!$B$221:$B$223,0))),'Tabla Impacto'!$F$223&amp;"Por favor no seleccionar los criterios de impacto(Afectación Económica o presupuestal y Pérdida Reputacional)",J15)</f>
        <v>0</v>
      </c>
      <c r="L15" s="142" t="s">
        <v>241</v>
      </c>
      <c r="M15" s="146">
        <f t="shared" si="1"/>
        <v>0.4</v>
      </c>
      <c r="N15" s="145" t="str">
        <f t="shared" si="2"/>
        <v>Moderado</v>
      </c>
      <c r="O15" s="125">
        <v>1</v>
      </c>
      <c r="P15" s="148" t="s">
        <v>223</v>
      </c>
      <c r="Q15" s="127" t="str">
        <f t="shared" si="3"/>
        <v>Probabilidad</v>
      </c>
      <c r="R15" s="128" t="s">
        <v>15</v>
      </c>
      <c r="S15" s="128" t="s">
        <v>9</v>
      </c>
      <c r="T15" s="129" t="str">
        <f t="shared" si="4"/>
        <v>30%</v>
      </c>
      <c r="U15" s="128" t="s">
        <v>20</v>
      </c>
      <c r="V15" s="128" t="s">
        <v>22</v>
      </c>
      <c r="W15" s="128" t="s">
        <v>120</v>
      </c>
      <c r="X15" s="130">
        <f t="shared" si="5"/>
        <v>0.28000000000000003</v>
      </c>
      <c r="Y15" s="131" t="str">
        <f t="shared" si="6"/>
        <v>Baja</v>
      </c>
      <c r="Z15" s="132">
        <f t="shared" si="7"/>
        <v>0.28000000000000003</v>
      </c>
      <c r="AA15" s="131" t="str">
        <f t="shared" si="8"/>
        <v>Menor</v>
      </c>
      <c r="AB15" s="139">
        <f t="shared" si="9"/>
        <v>0.4</v>
      </c>
      <c r="AC15" s="133" t="str">
        <f t="shared" si="10"/>
        <v>Moderado</v>
      </c>
      <c r="AD15" s="134" t="s">
        <v>136</v>
      </c>
      <c r="AE15" s="148" t="s">
        <v>242</v>
      </c>
      <c r="AF15" s="149" t="s">
        <v>224</v>
      </c>
      <c r="AG15" s="149" t="s">
        <v>225</v>
      </c>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01" customHeight="1" x14ac:dyDescent="0.3">
      <c r="A16" s="143">
        <v>7</v>
      </c>
      <c r="B16" s="140" t="s">
        <v>132</v>
      </c>
      <c r="C16" s="140"/>
      <c r="D16" s="151" t="s">
        <v>244</v>
      </c>
      <c r="E16" s="153" t="s">
        <v>243</v>
      </c>
      <c r="F16" s="140" t="s">
        <v>123</v>
      </c>
      <c r="G16" s="141" t="s">
        <v>219</v>
      </c>
      <c r="H16" s="142" t="s">
        <v>220</v>
      </c>
      <c r="I16" s="146">
        <f t="shared" si="0"/>
        <v>0.6</v>
      </c>
      <c r="J16" s="147"/>
      <c r="K16" s="146">
        <f>IF(NOT(ISERROR(MATCH(J16,'Tabla Impacto'!$B$221:$B$223,0))),'Tabla Impacto'!$F$223&amp;"Por favor no seleccionar los criterios de impacto(Afectación Económica o presupuestal y Pérdida Reputacional)",J16)</f>
        <v>0</v>
      </c>
      <c r="L16" s="142" t="s">
        <v>229</v>
      </c>
      <c r="M16" s="146">
        <f t="shared" si="1"/>
        <v>0.6</v>
      </c>
      <c r="N16" s="145" t="str">
        <f t="shared" si="2"/>
        <v>Moderado</v>
      </c>
      <c r="O16" s="125">
        <v>1</v>
      </c>
      <c r="P16" s="148" t="s">
        <v>223</v>
      </c>
      <c r="Q16" s="127" t="str">
        <f t="shared" si="3"/>
        <v>Impacto</v>
      </c>
      <c r="R16" s="128" t="s">
        <v>16</v>
      </c>
      <c r="S16" s="128" t="s">
        <v>9</v>
      </c>
      <c r="T16" s="129" t="str">
        <f t="shared" si="4"/>
        <v>25%</v>
      </c>
      <c r="U16" s="128" t="s">
        <v>20</v>
      </c>
      <c r="V16" s="128" t="s">
        <v>22</v>
      </c>
      <c r="W16" s="128" t="s">
        <v>120</v>
      </c>
      <c r="X16" s="130">
        <f t="shared" si="5"/>
        <v>0.6</v>
      </c>
      <c r="Y16" s="131" t="str">
        <f t="shared" si="6"/>
        <v>Media</v>
      </c>
      <c r="Z16" s="132">
        <f t="shared" si="7"/>
        <v>0.6</v>
      </c>
      <c r="AA16" s="131" t="str">
        <f t="shared" si="8"/>
        <v>Moderado</v>
      </c>
      <c r="AB16" s="139">
        <f t="shared" si="9"/>
        <v>0.44999999999999996</v>
      </c>
      <c r="AC16" s="133" t="str">
        <f t="shared" si="10"/>
        <v>Moderado</v>
      </c>
      <c r="AD16" s="134" t="s">
        <v>136</v>
      </c>
      <c r="AE16" s="148" t="s">
        <v>236</v>
      </c>
      <c r="AF16" s="149" t="s">
        <v>224</v>
      </c>
      <c r="AG16" s="149" t="s">
        <v>225</v>
      </c>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02">
        <v>8</v>
      </c>
      <c r="B17" s="205"/>
      <c r="C17" s="205"/>
      <c r="D17" s="205"/>
      <c r="E17" s="208"/>
      <c r="F17" s="205"/>
      <c r="G17" s="211"/>
      <c r="H17" s="214" t="str">
        <f>IF(G17&lt;=0,"",IF(G17&lt;=2,"Muy Baja",IF(G17&lt;=24,"Baja",IF(G17&lt;=500,"Media",IF(G17&lt;=5000,"Alta","Muy Alta")))))</f>
        <v/>
      </c>
      <c r="I17" s="196" t="str">
        <f t="shared" si="0"/>
        <v/>
      </c>
      <c r="J17" s="217"/>
      <c r="K17" s="196">
        <f>IF(NOT(ISERROR(MATCH(J17,'Tabla Impacto'!$B$221:$B$223,0))),'Tabla Impacto'!$F$223&amp;"Por favor no seleccionar los criterios de impacto(Afectación Económica o presupuestal y Pérdida Reputacional)",J17)</f>
        <v>0</v>
      </c>
      <c r="L17" s="214" t="str">
        <f>IF(OR(K17='Tabla Impacto'!$C$11,K17='Tabla Impacto'!$D$11),"Leve",IF(OR(K17='Tabla Impacto'!$C$12,K17='Tabla Impacto'!$D$12),"Menor",IF(OR(K17='Tabla Impacto'!$C$13,K17='Tabla Impacto'!$D$13),"Moderado",IF(OR(K17='Tabla Impacto'!$C$14,K17='Tabla Impacto'!$D$14),"Mayor",IF(OR(K17='Tabla Impacto'!$C$15,K17='Tabla Impacto'!$D$15),"Catastrófico","")))))</f>
        <v/>
      </c>
      <c r="M17" s="196" t="str">
        <f t="shared" si="1"/>
        <v/>
      </c>
      <c r="N17" s="199" t="str">
        <f t="shared" si="2"/>
        <v/>
      </c>
      <c r="O17" s="125">
        <v>1</v>
      </c>
      <c r="P17" s="126"/>
      <c r="Q17" s="127" t="str">
        <f t="shared" si="3"/>
        <v/>
      </c>
      <c r="R17" s="128"/>
      <c r="S17" s="128"/>
      <c r="T17" s="129" t="str">
        <f t="shared" si="4"/>
        <v/>
      </c>
      <c r="U17" s="128"/>
      <c r="V17" s="128"/>
      <c r="W17" s="128"/>
      <c r="X17" s="130" t="str">
        <f t="shared" si="5"/>
        <v/>
      </c>
      <c r="Y17" s="131" t="str">
        <f t="shared" si="6"/>
        <v/>
      </c>
      <c r="Z17" s="132" t="str">
        <f t="shared" si="7"/>
        <v/>
      </c>
      <c r="AA17" s="131" t="str">
        <f t="shared" si="8"/>
        <v/>
      </c>
      <c r="AB17" s="139" t="str">
        <f t="shared" si="9"/>
        <v/>
      </c>
      <c r="AC17" s="133" t="str">
        <f t="shared" si="10"/>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03"/>
      <c r="B18" s="206"/>
      <c r="C18" s="206"/>
      <c r="D18" s="206"/>
      <c r="E18" s="209"/>
      <c r="F18" s="206"/>
      <c r="G18" s="212"/>
      <c r="H18" s="215"/>
      <c r="I18" s="197"/>
      <c r="J18" s="218"/>
      <c r="K18" s="197">
        <f ca="1">IF(NOT(ISERROR(MATCH(J18,_xlfn.ANCHORARRAY(E29),0))),I31&amp;"Por favor no seleccionar los criterios de impacto",J18)</f>
        <v>0</v>
      </c>
      <c r="L18" s="215"/>
      <c r="M18" s="197"/>
      <c r="N18" s="200"/>
      <c r="O18" s="125">
        <v>2</v>
      </c>
      <c r="P18" s="126"/>
      <c r="Q18" s="127" t="str">
        <f t="shared" si="3"/>
        <v/>
      </c>
      <c r="R18" s="128"/>
      <c r="S18" s="128"/>
      <c r="T18" s="129" t="str">
        <f t="shared" ref="T18:T22" si="11">IF(AND(R18="Preventivo",S18="Automático"),"50%",IF(AND(R18="Preventivo",S18="Manual"),"40%",IF(AND(R18="Detectivo",S18="Automático"),"40%",IF(AND(R18="Detectivo",S18="Manual"),"30%",IF(AND(R18="Correctivo",S18="Automático"),"35%",IF(AND(R18="Correctivo",S18="Manual"),"25%",""))))))</f>
        <v/>
      </c>
      <c r="U18" s="128"/>
      <c r="V18" s="128"/>
      <c r="W18" s="128"/>
      <c r="X18" s="130" t="str">
        <f>IFERROR(IF(AND(Q17="Probabilidad",Q18="Probabilidad"),(Z17-(+Z17*T18)),IF(Q18="Probabilidad",(I17-(+I17*T18)),IF(Q18="Impacto",Z17,""))),"")</f>
        <v/>
      </c>
      <c r="Y18" s="131" t="str">
        <f t="shared" ref="Y18:Y34" si="12">IFERROR(IF(X18="","",IF(X18&lt;=0.2,"Muy Baja",IF(X18&lt;=0.4,"Baja",IF(X18&lt;=0.6,"Media",IF(X18&lt;=0.8,"Alta","Muy Alta"))))),"")</f>
        <v/>
      </c>
      <c r="Z18" s="132" t="str">
        <f t="shared" ref="Z18:Z22" si="13">+X18</f>
        <v/>
      </c>
      <c r="AA18" s="131" t="str">
        <f t="shared" ref="AA18:AA34" si="14">IFERROR(IF(AB18="","",IF(AB18&lt;=0.2,"Leve",IF(AB18&lt;=0.4,"Menor",IF(AB18&lt;=0.6,"Moderado",IF(AB18&lt;=0.8,"Mayor","Catastrófico"))))),"")</f>
        <v/>
      </c>
      <c r="AB18" s="139" t="str">
        <f>IFERROR(IF(AND(Q17="Impacto",Q18="Impacto"),(AB17-(+AB17*T18)),IF(Q18="Impacto",(M17-(+M17*T18)),IF(Q18="Probabilidad",AB17,""))),"")</f>
        <v/>
      </c>
      <c r="AC18" s="133" t="str">
        <f t="shared" ref="AC18:AC19" si="15">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03"/>
      <c r="B19" s="206"/>
      <c r="C19" s="206"/>
      <c r="D19" s="206"/>
      <c r="E19" s="209"/>
      <c r="F19" s="206"/>
      <c r="G19" s="212"/>
      <c r="H19" s="215"/>
      <c r="I19" s="197"/>
      <c r="J19" s="218"/>
      <c r="K19" s="197">
        <f ca="1">IF(NOT(ISERROR(MATCH(J19,_xlfn.ANCHORARRAY(E30),0))),I32&amp;"Por favor no seleccionar los criterios de impacto",J19)</f>
        <v>0</v>
      </c>
      <c r="L19" s="215"/>
      <c r="M19" s="197"/>
      <c r="N19" s="200"/>
      <c r="O19" s="125">
        <v>3</v>
      </c>
      <c r="P19" s="138"/>
      <c r="Q19" s="127" t="str">
        <f t="shared" si="3"/>
        <v/>
      </c>
      <c r="R19" s="128"/>
      <c r="S19" s="128"/>
      <c r="T19" s="129" t="str">
        <f t="shared" si="11"/>
        <v/>
      </c>
      <c r="U19" s="128"/>
      <c r="V19" s="128"/>
      <c r="W19" s="128"/>
      <c r="X19" s="130" t="str">
        <f>IFERROR(IF(AND(Q18="Probabilidad",Q19="Probabilidad"),(Z18-(+Z18*T19)),IF(AND(Q18="Impacto",Q19="Probabilidad"),(Z17-(+Z17*T19)),IF(Q19="Impacto",Z18,""))),"")</f>
        <v/>
      </c>
      <c r="Y19" s="131" t="str">
        <f t="shared" si="12"/>
        <v/>
      </c>
      <c r="Z19" s="132" t="str">
        <f t="shared" si="13"/>
        <v/>
      </c>
      <c r="AA19" s="131" t="str">
        <f t="shared" si="14"/>
        <v/>
      </c>
      <c r="AB19" s="139" t="str">
        <f>IFERROR(IF(AND(Q18="Impacto",Q19="Impacto"),(AB18-(+AB18*T19)),IF(AND(Q18="Probabilidad",Q19="Impacto"),(AB17-(+AB17*T19)),IF(Q19="Probabilidad",AB18,""))),"")</f>
        <v/>
      </c>
      <c r="AC19" s="133" t="str">
        <f t="shared" si="15"/>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03"/>
      <c r="B20" s="206"/>
      <c r="C20" s="206"/>
      <c r="D20" s="206"/>
      <c r="E20" s="209"/>
      <c r="F20" s="206"/>
      <c r="G20" s="212"/>
      <c r="H20" s="215"/>
      <c r="I20" s="197"/>
      <c r="J20" s="218"/>
      <c r="K20" s="197">
        <f ca="1">IF(NOT(ISERROR(MATCH(J20,_xlfn.ANCHORARRAY(E31),0))),I33&amp;"Por favor no seleccionar los criterios de impacto",J20)</f>
        <v>0</v>
      </c>
      <c r="L20" s="215"/>
      <c r="M20" s="197"/>
      <c r="N20" s="200"/>
      <c r="O20" s="125">
        <v>4</v>
      </c>
      <c r="P20" s="126"/>
      <c r="Q20" s="127" t="str">
        <f t="shared" ref="Q20:Q22" si="16">IF(OR(R20="Preventivo",R20="Detectivo"),"Probabilidad",IF(R20="Correctivo","Impacto",""))</f>
        <v/>
      </c>
      <c r="R20" s="128"/>
      <c r="S20" s="128"/>
      <c r="T20" s="129" t="str">
        <f t="shared" si="11"/>
        <v/>
      </c>
      <c r="U20" s="128"/>
      <c r="V20" s="128"/>
      <c r="W20" s="128"/>
      <c r="X20" s="130" t="str">
        <f t="shared" ref="X20:X22" si="17">IFERROR(IF(AND(Q19="Probabilidad",Q20="Probabilidad"),(Z19-(+Z19*T20)),IF(AND(Q19="Impacto",Q20="Probabilidad"),(Z18-(+Z18*T20)),IF(Q20="Impacto",Z19,""))),"")</f>
        <v/>
      </c>
      <c r="Y20" s="131" t="str">
        <f t="shared" si="12"/>
        <v/>
      </c>
      <c r="Z20" s="132" t="str">
        <f t="shared" si="13"/>
        <v/>
      </c>
      <c r="AA20" s="131" t="str">
        <f t="shared" si="14"/>
        <v/>
      </c>
      <c r="AB20" s="139" t="str">
        <f t="shared" ref="AB20:AB22" si="18">IFERROR(IF(AND(Q19="Impacto",Q20="Impacto"),(AB19-(+AB19*T20)),IF(AND(Q19="Probabilidad",Q20="Impacto"),(AB18-(+AB18*T20)),IF(Q20="Probabilidad",AB19,""))),"")</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03"/>
      <c r="B21" s="206"/>
      <c r="C21" s="206"/>
      <c r="D21" s="206"/>
      <c r="E21" s="209"/>
      <c r="F21" s="206"/>
      <c r="G21" s="212"/>
      <c r="H21" s="215"/>
      <c r="I21" s="197"/>
      <c r="J21" s="218"/>
      <c r="K21" s="197">
        <f ca="1">IF(NOT(ISERROR(MATCH(J21,_xlfn.ANCHORARRAY(E32),0))),I34&amp;"Por favor no seleccionar los criterios de impacto",J21)</f>
        <v>0</v>
      </c>
      <c r="L21" s="215"/>
      <c r="M21" s="197"/>
      <c r="N21" s="200"/>
      <c r="O21" s="125">
        <v>5</v>
      </c>
      <c r="P21" s="126"/>
      <c r="Q21" s="127" t="str">
        <f t="shared" si="16"/>
        <v/>
      </c>
      <c r="R21" s="128"/>
      <c r="S21" s="128"/>
      <c r="T21" s="129" t="str">
        <f t="shared" si="11"/>
        <v/>
      </c>
      <c r="U21" s="128"/>
      <c r="V21" s="128"/>
      <c r="W21" s="128"/>
      <c r="X21" s="130" t="str">
        <f t="shared" si="17"/>
        <v/>
      </c>
      <c r="Y21" s="131" t="str">
        <f t="shared" si="12"/>
        <v/>
      </c>
      <c r="Z21" s="132" t="str">
        <f t="shared" si="13"/>
        <v/>
      </c>
      <c r="AA21" s="131" t="str">
        <f t="shared" si="14"/>
        <v/>
      </c>
      <c r="AB21" s="139" t="str">
        <f t="shared" si="18"/>
        <v/>
      </c>
      <c r="AC21" s="133" t="str">
        <f t="shared" ref="AC21:AC22" si="19">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04"/>
      <c r="B22" s="207"/>
      <c r="C22" s="207"/>
      <c r="D22" s="207"/>
      <c r="E22" s="210"/>
      <c r="F22" s="207"/>
      <c r="G22" s="213"/>
      <c r="H22" s="216"/>
      <c r="I22" s="198"/>
      <c r="J22" s="219"/>
      <c r="K22" s="198">
        <f ca="1">IF(NOT(ISERROR(MATCH(J22,_xlfn.ANCHORARRAY(E33),0))),I35&amp;"Por favor no seleccionar los criterios de impacto",J22)</f>
        <v>0</v>
      </c>
      <c r="L22" s="216"/>
      <c r="M22" s="198"/>
      <c r="N22" s="201"/>
      <c r="O22" s="125">
        <v>6</v>
      </c>
      <c r="P22" s="126"/>
      <c r="Q22" s="127" t="str">
        <f t="shared" si="16"/>
        <v/>
      </c>
      <c r="R22" s="128"/>
      <c r="S22" s="128"/>
      <c r="T22" s="129" t="str">
        <f t="shared" si="11"/>
        <v/>
      </c>
      <c r="U22" s="128"/>
      <c r="V22" s="128"/>
      <c r="W22" s="128"/>
      <c r="X22" s="130" t="str">
        <f t="shared" si="17"/>
        <v/>
      </c>
      <c r="Y22" s="131" t="str">
        <f t="shared" si="12"/>
        <v/>
      </c>
      <c r="Z22" s="132" t="str">
        <f t="shared" si="13"/>
        <v/>
      </c>
      <c r="AA22" s="131" t="str">
        <f t="shared" si="14"/>
        <v/>
      </c>
      <c r="AB22" s="139" t="str">
        <f t="shared" si="18"/>
        <v/>
      </c>
      <c r="AC22" s="133" t="str">
        <f t="shared" si="19"/>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02">
        <v>9</v>
      </c>
      <c r="B23" s="205"/>
      <c r="C23" s="205"/>
      <c r="D23" s="205"/>
      <c r="E23" s="208"/>
      <c r="F23" s="205"/>
      <c r="G23" s="211"/>
      <c r="H23" s="214" t="str">
        <f>IF(G23&lt;=0,"",IF(G23&lt;=2,"Muy Baja",IF(G23&lt;=24,"Baja",IF(G23&lt;=500,"Media",IF(G23&lt;=5000,"Alta","Muy Alta")))))</f>
        <v/>
      </c>
      <c r="I23" s="196" t="str">
        <f>IF(H23="","",IF(H23="Muy Baja",0.2,IF(H23="Baja",0.4,IF(H23="Media",0.6,IF(H23="Alta",0.8,IF(H23="Muy Alta",1,))))))</f>
        <v/>
      </c>
      <c r="J23" s="217"/>
      <c r="K23" s="196">
        <f>IF(NOT(ISERROR(MATCH(J23,'Tabla Impacto'!$B$221:$B$223,0))),'Tabla Impacto'!$F$223&amp;"Por favor no seleccionar los criterios de impacto(Afectación Económica o presupuestal y Pérdida Reputacional)",J23)</f>
        <v>0</v>
      </c>
      <c r="L23" s="214" t="str">
        <f>IF(OR(K23='Tabla Impacto'!$C$11,K23='Tabla Impacto'!$D$11),"Leve",IF(OR(K23='Tabla Impacto'!$C$12,K23='Tabla Impacto'!$D$12),"Menor",IF(OR(K23='Tabla Impacto'!$C$13,K23='Tabla Impacto'!$D$13),"Moderado",IF(OR(K23='Tabla Impacto'!$C$14,K23='Tabla Impacto'!$D$14),"Mayor",IF(OR(K23='Tabla Impacto'!$C$15,K23='Tabla Impacto'!$D$15),"Catastrófico","")))))</f>
        <v/>
      </c>
      <c r="M23" s="196" t="str">
        <f>IF(L23="","",IF(L23="Leve",0.2,IF(L23="Menor",0.4,IF(L23="Moderado",0.6,IF(L23="Mayor",0.8,IF(L23="Catastrófico",1,))))))</f>
        <v/>
      </c>
      <c r="N23" s="199"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5">
        <v>1</v>
      </c>
      <c r="P23" s="126"/>
      <c r="Q23" s="127" t="str">
        <f>IF(OR(R23="Preventivo",R23="Detectivo"),"Probabilidad",IF(R23="Correctivo","Impacto",""))</f>
        <v/>
      </c>
      <c r="R23" s="128"/>
      <c r="S23" s="128"/>
      <c r="T23" s="129" t="str">
        <f>IF(AND(R23="Preventivo",S23="Automático"),"50%",IF(AND(R23="Preventivo",S23="Manual"),"40%",IF(AND(R23="Detectivo",S23="Automático"),"40%",IF(AND(R23="Detectivo",S23="Manual"),"30%",IF(AND(R23="Correctivo",S23="Automático"),"35%",IF(AND(R23="Correctivo",S23="Manual"),"25%",""))))))</f>
        <v/>
      </c>
      <c r="U23" s="128"/>
      <c r="V23" s="128"/>
      <c r="W23" s="128"/>
      <c r="X23" s="130" t="str">
        <f>IFERROR(IF(Q23="Probabilidad",(I23-(+I23*T23)),IF(Q23="Impacto",I23,"")),"")</f>
        <v/>
      </c>
      <c r="Y23" s="131" t="str">
        <f>IFERROR(IF(X23="","",IF(X23&lt;=0.2,"Muy Baja",IF(X23&lt;=0.4,"Baja",IF(X23&lt;=0.6,"Media",IF(X23&lt;=0.8,"Alta","Muy Alta"))))),"")</f>
        <v/>
      </c>
      <c r="Z23" s="132" t="str">
        <f>+X23</f>
        <v/>
      </c>
      <c r="AA23" s="131" t="str">
        <f>IFERROR(IF(AB23="","",IF(AB23&lt;=0.2,"Leve",IF(AB23&lt;=0.4,"Menor",IF(AB23&lt;=0.6,"Moderado",IF(AB23&lt;=0.8,"Mayor","Catastrófico"))))),"")</f>
        <v/>
      </c>
      <c r="AB23" s="139" t="str">
        <f>IFERROR(IF(Q23="Impacto",(M23-(+M23*T23)),IF(Q23="Probabilidad",M23,"")),"")</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03"/>
      <c r="B24" s="206"/>
      <c r="C24" s="206"/>
      <c r="D24" s="206"/>
      <c r="E24" s="209"/>
      <c r="F24" s="206"/>
      <c r="G24" s="212"/>
      <c r="H24" s="215"/>
      <c r="I24" s="197"/>
      <c r="J24" s="218"/>
      <c r="K24" s="197">
        <f ca="1">IF(NOT(ISERROR(MATCH(J24,_xlfn.ANCHORARRAY(E35),0))),I37&amp;"Por favor no seleccionar los criterios de impacto",J24)</f>
        <v>0</v>
      </c>
      <c r="L24" s="215"/>
      <c r="M24" s="197"/>
      <c r="N24" s="200"/>
      <c r="O24" s="125">
        <v>2</v>
      </c>
      <c r="P24" s="126"/>
      <c r="Q24" s="127" t="str">
        <f>IF(OR(R24="Preventivo",R24="Detectivo"),"Probabilidad",IF(R24="Correctivo","Impacto",""))</f>
        <v/>
      </c>
      <c r="R24" s="128"/>
      <c r="S24" s="128"/>
      <c r="T24" s="129" t="str">
        <f t="shared" ref="T24:T28" si="20">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2"/>
        <v/>
      </c>
      <c r="Z24" s="132" t="str">
        <f t="shared" ref="Z24:Z28" si="21">+X24</f>
        <v/>
      </c>
      <c r="AA24" s="131" t="str">
        <f t="shared" si="14"/>
        <v/>
      </c>
      <c r="AB24" s="139" t="str">
        <f>IFERROR(IF(AND(Q23="Impacto",Q24="Impacto"),(AB23-(+AB23*T24)),IF(Q24="Impacto",(M23-(+M23*T24)),IF(Q24="Probabilidad",AB23,""))),"")</f>
        <v/>
      </c>
      <c r="AC24" s="133" t="str">
        <f t="shared" ref="AC24:AC25" si="22">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03"/>
      <c r="B25" s="206"/>
      <c r="C25" s="206"/>
      <c r="D25" s="206"/>
      <c r="E25" s="209"/>
      <c r="F25" s="206"/>
      <c r="G25" s="212"/>
      <c r="H25" s="215"/>
      <c r="I25" s="197"/>
      <c r="J25" s="218"/>
      <c r="K25" s="197">
        <f ca="1">IF(NOT(ISERROR(MATCH(J25,_xlfn.ANCHORARRAY(E36),0))),I38&amp;"Por favor no seleccionar los criterios de impacto",J25)</f>
        <v>0</v>
      </c>
      <c r="L25" s="215"/>
      <c r="M25" s="197"/>
      <c r="N25" s="200"/>
      <c r="O25" s="125">
        <v>3</v>
      </c>
      <c r="P25" s="138"/>
      <c r="Q25" s="127" t="str">
        <f>IF(OR(R25="Preventivo",R25="Detectivo"),"Probabilidad",IF(R25="Correctivo","Impacto",""))</f>
        <v/>
      </c>
      <c r="R25" s="128"/>
      <c r="S25" s="128"/>
      <c r="T25" s="129" t="str">
        <f t="shared" si="20"/>
        <v/>
      </c>
      <c r="U25" s="128"/>
      <c r="V25" s="128"/>
      <c r="W25" s="128"/>
      <c r="X25" s="130" t="str">
        <f>IFERROR(IF(AND(Q24="Probabilidad",Q25="Probabilidad"),(Z24-(+Z24*T25)),IF(AND(Q24="Impacto",Q25="Probabilidad"),(Z23-(+Z23*T25)),IF(Q25="Impacto",Z24,""))),"")</f>
        <v/>
      </c>
      <c r="Y25" s="131" t="str">
        <f t="shared" si="12"/>
        <v/>
      </c>
      <c r="Z25" s="132" t="str">
        <f t="shared" si="21"/>
        <v/>
      </c>
      <c r="AA25" s="131" t="str">
        <f t="shared" si="14"/>
        <v/>
      </c>
      <c r="AB25" s="139" t="str">
        <f>IFERROR(IF(AND(Q24="Impacto",Q25="Impacto"),(AB24-(+AB24*T25)),IF(AND(Q24="Probabilidad",Q25="Impacto"),(AB23-(+AB23*T25)),IF(Q25="Probabilidad",AB24,""))),"")</f>
        <v/>
      </c>
      <c r="AC25" s="133" t="str">
        <f t="shared" si="22"/>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03"/>
      <c r="B26" s="206"/>
      <c r="C26" s="206"/>
      <c r="D26" s="206"/>
      <c r="E26" s="209"/>
      <c r="F26" s="206"/>
      <c r="G26" s="212"/>
      <c r="H26" s="215"/>
      <c r="I26" s="197"/>
      <c r="J26" s="218"/>
      <c r="K26" s="197">
        <f ca="1">IF(NOT(ISERROR(MATCH(J26,_xlfn.ANCHORARRAY(E37),0))),I39&amp;"Por favor no seleccionar los criterios de impacto",J26)</f>
        <v>0</v>
      </c>
      <c r="L26" s="215"/>
      <c r="M26" s="197"/>
      <c r="N26" s="200"/>
      <c r="O26" s="125">
        <v>4</v>
      </c>
      <c r="P26" s="126"/>
      <c r="Q26" s="127" t="str">
        <f t="shared" ref="Q26:Q28" si="23">IF(OR(R26="Preventivo",R26="Detectivo"),"Probabilidad",IF(R26="Correctivo","Impacto",""))</f>
        <v/>
      </c>
      <c r="R26" s="128"/>
      <c r="S26" s="128"/>
      <c r="T26" s="129" t="str">
        <f t="shared" si="20"/>
        <v/>
      </c>
      <c r="U26" s="128"/>
      <c r="V26" s="128"/>
      <c r="W26" s="128"/>
      <c r="X26" s="130" t="str">
        <f t="shared" ref="X26:X28" si="24">IFERROR(IF(AND(Q25="Probabilidad",Q26="Probabilidad"),(Z25-(+Z25*T26)),IF(AND(Q25="Impacto",Q26="Probabilidad"),(Z24-(+Z24*T26)),IF(Q26="Impacto",Z25,""))),"")</f>
        <v/>
      </c>
      <c r="Y26" s="131" t="str">
        <f t="shared" si="12"/>
        <v/>
      </c>
      <c r="Z26" s="132" t="str">
        <f t="shared" si="21"/>
        <v/>
      </c>
      <c r="AA26" s="131" t="str">
        <f t="shared" si="14"/>
        <v/>
      </c>
      <c r="AB26" s="139" t="str">
        <f t="shared" ref="AB26:AB28" si="25">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03"/>
      <c r="B27" s="206"/>
      <c r="C27" s="206"/>
      <c r="D27" s="206"/>
      <c r="E27" s="209"/>
      <c r="F27" s="206"/>
      <c r="G27" s="212"/>
      <c r="H27" s="215"/>
      <c r="I27" s="197"/>
      <c r="J27" s="218"/>
      <c r="K27" s="197">
        <f ca="1">IF(NOT(ISERROR(MATCH(J27,_xlfn.ANCHORARRAY(E38),0))),I40&amp;"Por favor no seleccionar los criterios de impacto",J27)</f>
        <v>0</v>
      </c>
      <c r="L27" s="215"/>
      <c r="M27" s="197"/>
      <c r="N27" s="200"/>
      <c r="O27" s="125">
        <v>5</v>
      </c>
      <c r="P27" s="126"/>
      <c r="Q27" s="127" t="str">
        <f t="shared" si="23"/>
        <v/>
      </c>
      <c r="R27" s="128"/>
      <c r="S27" s="128"/>
      <c r="T27" s="129" t="str">
        <f t="shared" si="20"/>
        <v/>
      </c>
      <c r="U27" s="128"/>
      <c r="V27" s="128"/>
      <c r="W27" s="128"/>
      <c r="X27" s="130" t="str">
        <f t="shared" si="24"/>
        <v/>
      </c>
      <c r="Y27" s="131" t="str">
        <f t="shared" si="12"/>
        <v/>
      </c>
      <c r="Z27" s="132" t="str">
        <f t="shared" si="21"/>
        <v/>
      </c>
      <c r="AA27" s="131" t="str">
        <f t="shared" si="14"/>
        <v/>
      </c>
      <c r="AB27" s="139" t="str">
        <f t="shared" si="25"/>
        <v/>
      </c>
      <c r="AC27" s="133" t="str">
        <f t="shared" ref="AC27:AC28" si="26">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04"/>
      <c r="B28" s="207"/>
      <c r="C28" s="207"/>
      <c r="D28" s="207"/>
      <c r="E28" s="210"/>
      <c r="F28" s="207"/>
      <c r="G28" s="213"/>
      <c r="H28" s="216"/>
      <c r="I28" s="198"/>
      <c r="J28" s="219"/>
      <c r="K28" s="198">
        <f ca="1">IF(NOT(ISERROR(MATCH(J28,_xlfn.ANCHORARRAY(E39),0))),I41&amp;"Por favor no seleccionar los criterios de impacto",J28)</f>
        <v>0</v>
      </c>
      <c r="L28" s="216"/>
      <c r="M28" s="198"/>
      <c r="N28" s="201"/>
      <c r="O28" s="125">
        <v>6</v>
      </c>
      <c r="P28" s="126"/>
      <c r="Q28" s="127" t="str">
        <f t="shared" si="23"/>
        <v/>
      </c>
      <c r="R28" s="128"/>
      <c r="S28" s="128"/>
      <c r="T28" s="129" t="str">
        <f t="shared" si="20"/>
        <v/>
      </c>
      <c r="U28" s="128"/>
      <c r="V28" s="128"/>
      <c r="W28" s="128"/>
      <c r="X28" s="130" t="str">
        <f t="shared" si="24"/>
        <v/>
      </c>
      <c r="Y28" s="131" t="str">
        <f t="shared" si="12"/>
        <v/>
      </c>
      <c r="Z28" s="132" t="str">
        <f t="shared" si="21"/>
        <v/>
      </c>
      <c r="AA28" s="131" t="str">
        <f t="shared" si="14"/>
        <v/>
      </c>
      <c r="AB28" s="139" t="str">
        <f t="shared" si="25"/>
        <v/>
      </c>
      <c r="AC28" s="133" t="str">
        <f t="shared" si="26"/>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02">
        <v>10</v>
      </c>
      <c r="B29" s="205"/>
      <c r="C29" s="205"/>
      <c r="D29" s="205"/>
      <c r="E29" s="208"/>
      <c r="F29" s="205"/>
      <c r="G29" s="211"/>
      <c r="H29" s="214" t="str">
        <f>IF(G29&lt;=0,"",IF(G29&lt;=2,"Muy Baja",IF(G29&lt;=24,"Baja",IF(G29&lt;=500,"Media",IF(G29&lt;=5000,"Alta","Muy Alta")))))</f>
        <v/>
      </c>
      <c r="I29" s="196" t="str">
        <f>IF(H29="","",IF(H29="Muy Baja",0.2,IF(H29="Baja",0.4,IF(H29="Media",0.6,IF(H29="Alta",0.8,IF(H29="Muy Alta",1,))))))</f>
        <v/>
      </c>
      <c r="J29" s="217"/>
      <c r="K29" s="196">
        <f>IF(NOT(ISERROR(MATCH(J29,'Tabla Impacto'!$B$221:$B$223,0))),'Tabla Impacto'!$F$223&amp;"Por favor no seleccionar los criterios de impacto(Afectación Económica o presupuestal y Pérdida Reputacional)",J29)</f>
        <v>0</v>
      </c>
      <c r="L29" s="214" t="str">
        <f>IF(OR(K29='Tabla Impacto'!$C$11,K29='Tabla Impacto'!$D$11),"Leve",IF(OR(K29='Tabla Impacto'!$C$12,K29='Tabla Impacto'!$D$12),"Menor",IF(OR(K29='Tabla Impacto'!$C$13,K29='Tabla Impacto'!$D$13),"Moderado",IF(OR(K29='Tabla Impacto'!$C$14,K29='Tabla Impacto'!$D$14),"Mayor",IF(OR(K29='Tabla Impacto'!$C$15,K29='Tabla Impacto'!$D$15),"Catastrófico","")))))</f>
        <v/>
      </c>
      <c r="M29" s="196" t="str">
        <f>IF(L29="","",IF(L29="Leve",0.2,IF(L29="Menor",0.4,IF(L29="Moderado",0.6,IF(L29="Mayor",0.8,IF(L29="Catastrófico",1,))))))</f>
        <v/>
      </c>
      <c r="N29" s="199"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39"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03"/>
      <c r="B30" s="206"/>
      <c r="C30" s="206"/>
      <c r="D30" s="206"/>
      <c r="E30" s="209"/>
      <c r="F30" s="206"/>
      <c r="G30" s="212"/>
      <c r="H30" s="215"/>
      <c r="I30" s="197"/>
      <c r="J30" s="218"/>
      <c r="K30" s="197">
        <f ca="1">IF(NOT(ISERROR(MATCH(J30,_xlfn.ANCHORARRAY(E41),0))),I43&amp;"Por favor no seleccionar los criterios de impacto",J30)</f>
        <v>0</v>
      </c>
      <c r="L30" s="215"/>
      <c r="M30" s="197"/>
      <c r="N30" s="200"/>
      <c r="O30" s="125">
        <v>2</v>
      </c>
      <c r="P30" s="126"/>
      <c r="Q30" s="127" t="str">
        <f>IF(OR(R30="Preventivo",R30="Detectivo"),"Probabilidad",IF(R30="Correctivo","Impacto",""))</f>
        <v/>
      </c>
      <c r="R30" s="128"/>
      <c r="S30" s="128"/>
      <c r="T30" s="129" t="str">
        <f t="shared" ref="T30:T34" si="27">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2"/>
        <v/>
      </c>
      <c r="Z30" s="132" t="str">
        <f t="shared" ref="Z30:Z34" si="28">+X30</f>
        <v/>
      </c>
      <c r="AA30" s="131" t="str">
        <f t="shared" si="14"/>
        <v/>
      </c>
      <c r="AB30" s="139" t="str">
        <f>IFERROR(IF(AND(Q29="Impacto",Q30="Impacto"),(AB29-(+AB29*T30)),IF(Q30="Impacto",(M29-(+M29*T30)),IF(Q30="Probabilidad",AB29,""))),"")</f>
        <v/>
      </c>
      <c r="AC30" s="133" t="str">
        <f t="shared" ref="AC30:AC31" si="29">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row>
    <row r="31" spans="1:68" ht="35.25" customHeight="1" x14ac:dyDescent="0.3">
      <c r="A31" s="203"/>
      <c r="B31" s="206"/>
      <c r="C31" s="206"/>
      <c r="D31" s="206"/>
      <c r="E31" s="209"/>
      <c r="F31" s="206"/>
      <c r="G31" s="212"/>
      <c r="H31" s="215"/>
      <c r="I31" s="197"/>
      <c r="J31" s="218"/>
      <c r="K31" s="197">
        <f ca="1">IF(NOT(ISERROR(MATCH(J31,_xlfn.ANCHORARRAY(E42),0))),I44&amp;"Por favor no seleccionar los criterios de impacto",J31)</f>
        <v>0</v>
      </c>
      <c r="L31" s="215"/>
      <c r="M31" s="197"/>
      <c r="N31" s="200"/>
      <c r="O31" s="125">
        <v>3</v>
      </c>
      <c r="P31" s="138"/>
      <c r="Q31" s="127" t="str">
        <f>IF(OR(R31="Preventivo",R31="Detectivo"),"Probabilidad",IF(R31="Correctivo","Impacto",""))</f>
        <v/>
      </c>
      <c r="R31" s="128"/>
      <c r="S31" s="128"/>
      <c r="T31" s="129" t="str">
        <f t="shared" si="27"/>
        <v/>
      </c>
      <c r="U31" s="128"/>
      <c r="V31" s="128"/>
      <c r="W31" s="128"/>
      <c r="X31" s="130" t="str">
        <f>IFERROR(IF(AND(Q30="Probabilidad",Q31="Probabilidad"),(Z30-(+Z30*T31)),IF(AND(Q30="Impacto",Q31="Probabilidad"),(Z29-(+Z29*T31)),IF(Q31="Impacto",Z30,""))),"")</f>
        <v/>
      </c>
      <c r="Y31" s="131" t="str">
        <f t="shared" si="12"/>
        <v/>
      </c>
      <c r="Z31" s="132" t="str">
        <f t="shared" si="28"/>
        <v/>
      </c>
      <c r="AA31" s="131" t="str">
        <f t="shared" si="14"/>
        <v/>
      </c>
      <c r="AB31" s="139" t="str">
        <f>IFERROR(IF(AND(Q30="Impacto",Q31="Impacto"),(AB30-(+AB30*T31)),IF(AND(Q30="Probabilidad",Q31="Impacto"),(AB29-(+AB29*T31)),IF(Q31="Probabilidad",AB30,""))),"")</f>
        <v/>
      </c>
      <c r="AC31" s="133" t="str">
        <f t="shared" si="29"/>
        <v/>
      </c>
      <c r="AD31" s="134"/>
      <c r="AE31" s="135"/>
      <c r="AF31" s="136"/>
      <c r="AG31" s="137"/>
      <c r="AH31" s="137"/>
      <c r="AI31" s="135"/>
      <c r="AJ31" s="136"/>
    </row>
    <row r="32" spans="1:68" ht="35.25" customHeight="1" x14ac:dyDescent="0.3">
      <c r="A32" s="203"/>
      <c r="B32" s="206"/>
      <c r="C32" s="206"/>
      <c r="D32" s="206"/>
      <c r="E32" s="209"/>
      <c r="F32" s="206"/>
      <c r="G32" s="212"/>
      <c r="H32" s="215"/>
      <c r="I32" s="197"/>
      <c r="J32" s="218"/>
      <c r="K32" s="197">
        <f ca="1">IF(NOT(ISERROR(MATCH(J32,_xlfn.ANCHORARRAY(E43),0))),I45&amp;"Por favor no seleccionar los criterios de impacto",J32)</f>
        <v>0</v>
      </c>
      <c r="L32" s="215"/>
      <c r="M32" s="197"/>
      <c r="N32" s="200"/>
      <c r="O32" s="125">
        <v>4</v>
      </c>
      <c r="P32" s="126"/>
      <c r="Q32" s="127" t="str">
        <f t="shared" ref="Q32:Q34" si="30">IF(OR(R32="Preventivo",R32="Detectivo"),"Probabilidad",IF(R32="Correctivo","Impacto",""))</f>
        <v/>
      </c>
      <c r="R32" s="128"/>
      <c r="S32" s="128"/>
      <c r="T32" s="129" t="str">
        <f t="shared" si="27"/>
        <v/>
      </c>
      <c r="U32" s="128"/>
      <c r="V32" s="128"/>
      <c r="W32" s="128"/>
      <c r="X32" s="130" t="str">
        <f t="shared" ref="X32:X34" si="31">IFERROR(IF(AND(Q31="Probabilidad",Q32="Probabilidad"),(Z31-(+Z31*T32)),IF(AND(Q31="Impacto",Q32="Probabilidad"),(Z30-(+Z30*T32)),IF(Q32="Impacto",Z31,""))),"")</f>
        <v/>
      </c>
      <c r="Y32" s="131" t="str">
        <f t="shared" si="12"/>
        <v/>
      </c>
      <c r="Z32" s="132" t="str">
        <f t="shared" si="28"/>
        <v/>
      </c>
      <c r="AA32" s="131" t="str">
        <f t="shared" si="14"/>
        <v/>
      </c>
      <c r="AB32" s="139" t="str">
        <f t="shared" ref="AB32:AB34" si="32">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row>
    <row r="33" spans="1:36" ht="35.25" customHeight="1" x14ac:dyDescent="0.3">
      <c r="A33" s="203"/>
      <c r="B33" s="206"/>
      <c r="C33" s="206"/>
      <c r="D33" s="206"/>
      <c r="E33" s="209"/>
      <c r="F33" s="206"/>
      <c r="G33" s="212"/>
      <c r="H33" s="215"/>
      <c r="I33" s="197"/>
      <c r="J33" s="218"/>
      <c r="K33" s="197">
        <f ca="1">IF(NOT(ISERROR(MATCH(J33,_xlfn.ANCHORARRAY(E44),0))),I46&amp;"Por favor no seleccionar los criterios de impacto",J33)</f>
        <v>0</v>
      </c>
      <c r="L33" s="215"/>
      <c r="M33" s="197"/>
      <c r="N33" s="200"/>
      <c r="O33" s="125">
        <v>5</v>
      </c>
      <c r="P33" s="126"/>
      <c r="Q33" s="127" t="str">
        <f t="shared" si="30"/>
        <v/>
      </c>
      <c r="R33" s="128"/>
      <c r="S33" s="128"/>
      <c r="T33" s="129" t="str">
        <f t="shared" si="27"/>
        <v/>
      </c>
      <c r="U33" s="128"/>
      <c r="V33" s="128"/>
      <c r="W33" s="128"/>
      <c r="X33" s="130" t="str">
        <f t="shared" si="31"/>
        <v/>
      </c>
      <c r="Y33" s="131" t="str">
        <f t="shared" si="12"/>
        <v/>
      </c>
      <c r="Z33" s="132" t="str">
        <f t="shared" si="28"/>
        <v/>
      </c>
      <c r="AA33" s="131" t="str">
        <f t="shared" si="14"/>
        <v/>
      </c>
      <c r="AB33" s="139" t="str">
        <f t="shared" si="32"/>
        <v/>
      </c>
      <c r="AC33" s="133" t="str">
        <f t="shared" ref="AC33:AC34" si="33">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row>
    <row r="34" spans="1:36" ht="35.25" customHeight="1" x14ac:dyDescent="0.3">
      <c r="A34" s="204"/>
      <c r="B34" s="207"/>
      <c r="C34" s="207"/>
      <c r="D34" s="207"/>
      <c r="E34" s="210"/>
      <c r="F34" s="207"/>
      <c r="G34" s="213"/>
      <c r="H34" s="216"/>
      <c r="I34" s="198"/>
      <c r="J34" s="219"/>
      <c r="K34" s="198">
        <f ca="1">IF(NOT(ISERROR(MATCH(J34,_xlfn.ANCHORARRAY(E45),0))),I47&amp;"Por favor no seleccionar los criterios de impacto",J34)</f>
        <v>0</v>
      </c>
      <c r="L34" s="216"/>
      <c r="M34" s="198"/>
      <c r="N34" s="201"/>
      <c r="O34" s="125">
        <v>6</v>
      </c>
      <c r="P34" s="126"/>
      <c r="Q34" s="127" t="str">
        <f t="shared" si="30"/>
        <v/>
      </c>
      <c r="R34" s="128"/>
      <c r="S34" s="128"/>
      <c r="T34" s="129" t="str">
        <f t="shared" si="27"/>
        <v/>
      </c>
      <c r="U34" s="128"/>
      <c r="V34" s="128"/>
      <c r="W34" s="128"/>
      <c r="X34" s="130" t="str">
        <f t="shared" si="31"/>
        <v/>
      </c>
      <c r="Y34" s="131" t="str">
        <f t="shared" si="12"/>
        <v/>
      </c>
      <c r="Z34" s="132" t="str">
        <f t="shared" si="28"/>
        <v/>
      </c>
      <c r="AA34" s="131" t="str">
        <f t="shared" si="14"/>
        <v/>
      </c>
      <c r="AB34" s="139" t="str">
        <f t="shared" si="32"/>
        <v/>
      </c>
      <c r="AC34" s="133" t="str">
        <f t="shared" si="33"/>
        <v/>
      </c>
      <c r="AD34" s="134"/>
      <c r="AE34" s="135"/>
      <c r="AF34" s="136"/>
      <c r="AG34" s="137"/>
      <c r="AH34" s="137"/>
      <c r="AI34" s="135"/>
      <c r="AJ34" s="136"/>
    </row>
    <row r="35" spans="1:36" ht="49.5" customHeight="1" x14ac:dyDescent="0.3">
      <c r="A35" s="6"/>
      <c r="B35" s="193" t="s">
        <v>131</v>
      </c>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5"/>
    </row>
    <row r="37" spans="1:36" x14ac:dyDescent="0.3">
      <c r="A37" s="1"/>
      <c r="B37" s="24" t="s">
        <v>143</v>
      </c>
      <c r="C37" s="1"/>
      <c r="D37" s="1"/>
      <c r="F37" s="1"/>
    </row>
  </sheetData>
  <dataConsolidate/>
  <mergeCells count="87">
    <mergeCell ref="I8:I9"/>
    <mergeCell ref="L8:L9"/>
    <mergeCell ref="M8:M9"/>
    <mergeCell ref="R8:W8"/>
    <mergeCell ref="AE8:AE9"/>
    <mergeCell ref="AJ8:AJ9"/>
    <mergeCell ref="AI8:AI9"/>
    <mergeCell ref="AH8:AH9"/>
    <mergeCell ref="AG8:AG9"/>
    <mergeCell ref="AF8:AF9"/>
    <mergeCell ref="A8:A9"/>
    <mergeCell ref="F8:F9"/>
    <mergeCell ref="E8:E9"/>
    <mergeCell ref="D8:D9"/>
    <mergeCell ref="C8:C9"/>
    <mergeCell ref="B8:B9"/>
    <mergeCell ref="AD8:AD9"/>
    <mergeCell ref="C6:N6"/>
    <mergeCell ref="O8:O9"/>
    <mergeCell ref="AC8:AC9"/>
    <mergeCell ref="AB8:AB9"/>
    <mergeCell ref="X8:X9"/>
    <mergeCell ref="P8:P9"/>
    <mergeCell ref="N8:N9"/>
    <mergeCell ref="J8:J9"/>
    <mergeCell ref="K8:K9"/>
    <mergeCell ref="Q8:Q9"/>
    <mergeCell ref="AA8:AA9"/>
    <mergeCell ref="Y8:Y9"/>
    <mergeCell ref="Z8:Z9"/>
    <mergeCell ref="G8:G9"/>
    <mergeCell ref="H8:H9"/>
    <mergeCell ref="A17:A22"/>
    <mergeCell ref="B17:B22"/>
    <mergeCell ref="C17:C22"/>
    <mergeCell ref="D17:D22"/>
    <mergeCell ref="E17:E22"/>
    <mergeCell ref="F17:F22"/>
    <mergeCell ref="G17:G22"/>
    <mergeCell ref="H17:H22"/>
    <mergeCell ref="I17:I22"/>
    <mergeCell ref="J17:J22"/>
    <mergeCell ref="K17:K22"/>
    <mergeCell ref="L17:L22"/>
    <mergeCell ref="M17:M22"/>
    <mergeCell ref="N17:N22"/>
    <mergeCell ref="N29:N34"/>
    <mergeCell ref="J23:J28"/>
    <mergeCell ref="K23:K28"/>
    <mergeCell ref="L23:L28"/>
    <mergeCell ref="A23:A28"/>
    <mergeCell ref="B23:B28"/>
    <mergeCell ref="C23:C28"/>
    <mergeCell ref="D23:D28"/>
    <mergeCell ref="E23:E28"/>
    <mergeCell ref="F23:F28"/>
    <mergeCell ref="G23:G28"/>
    <mergeCell ref="H23:H28"/>
    <mergeCell ref="I23:I28"/>
    <mergeCell ref="O4:Q4"/>
    <mergeCell ref="A1:AJ2"/>
    <mergeCell ref="A7:G7"/>
    <mergeCell ref="H7:N7"/>
    <mergeCell ref="O7:W7"/>
    <mergeCell ref="X7:AD7"/>
    <mergeCell ref="AE7:AJ7"/>
    <mergeCell ref="A4:B4"/>
    <mergeCell ref="A5:B5"/>
    <mergeCell ref="A6:B6"/>
    <mergeCell ref="C4:N4"/>
    <mergeCell ref="C5:Q5"/>
    <mergeCell ref="B35:AJ35"/>
    <mergeCell ref="M23:M28"/>
    <mergeCell ref="N23:N28"/>
    <mergeCell ref="A29:A34"/>
    <mergeCell ref="B29:B34"/>
    <mergeCell ref="C29:C34"/>
    <mergeCell ref="D29:D34"/>
    <mergeCell ref="E29:E34"/>
    <mergeCell ref="F29:F34"/>
    <mergeCell ref="G29:G34"/>
    <mergeCell ref="H29:H34"/>
    <mergeCell ref="I29:I34"/>
    <mergeCell ref="J29:J34"/>
    <mergeCell ref="K29:K34"/>
    <mergeCell ref="L29:L34"/>
    <mergeCell ref="M29:M34"/>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7 L23 L2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2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1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1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1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1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1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1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1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17:Y2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17:AA2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17:AC2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2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23:Y2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23:AA2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23:AC2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2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2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29:Y3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29:AA3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29:AC3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3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AJ10:AJ18 AJ20:AJ21 AJ23:AJ24 AJ26:AJ27 AJ29:AJ30 AJ32:AJ33</xm:sqref>
        </x14:dataValidation>
        <x14:dataValidation type="list" allowBlank="1" showInputMessage="1" showErrorMessage="1">
          <x14:formula1>
            <xm:f>'Tabla Valoración controles'!$D$4:$D$6</xm:f>
          </x14:formula1>
          <xm:sqref>R10:R34</xm:sqref>
        </x14:dataValidation>
        <x14:dataValidation type="list" allowBlank="1" showInputMessage="1" showErrorMessage="1">
          <x14:formula1>
            <xm:f>'Tabla Valoración controles'!$D$7:$D$8</xm:f>
          </x14:formula1>
          <xm:sqref>S10:S34</xm:sqref>
        </x14:dataValidation>
        <x14:dataValidation type="list" allowBlank="1" showInputMessage="1" showErrorMessage="1">
          <x14:formula1>
            <xm:f>'Tabla Valoración controles'!$D$9:$D$10</xm:f>
          </x14:formula1>
          <xm:sqref>U10:U34</xm:sqref>
        </x14:dataValidation>
        <x14:dataValidation type="list" allowBlank="1" showInputMessage="1" showErrorMessage="1">
          <x14:formula1>
            <xm:f>'Tabla Valoración controles'!$D$11:$D$12</xm:f>
          </x14:formula1>
          <xm:sqref>V10:V34</xm:sqref>
        </x14:dataValidation>
        <x14:dataValidation type="list" allowBlank="1" showInputMessage="1" showErrorMessage="1">
          <x14:formula1>
            <xm:f>'Tabla Valoración controles'!$D$13:$D$14</xm:f>
          </x14:formula1>
          <xm:sqref>W10:W34</xm:sqref>
        </x14:dataValidation>
        <x14:dataValidation type="list" allowBlank="1" showInputMessage="1" showErrorMessage="1">
          <x14:formula1>
            <xm:f>'Opciones Tratamiento'!$B$13:$B$19</xm:f>
          </x14:formula1>
          <xm:sqref>F10:F34</xm:sqref>
        </x14:dataValidation>
        <x14:dataValidation type="list" allowBlank="1" showInputMessage="1" showErrorMessage="1">
          <x14:formula1>
            <xm:f>'Opciones Tratamiento'!$E$2:$E$4</xm:f>
          </x14:formula1>
          <xm:sqref>B10:B34</xm:sqref>
        </x14:dataValidation>
        <x14:dataValidation type="list" allowBlank="1" showInputMessage="1" showErrorMessage="1">
          <x14:formula1>
            <xm:f>'Opciones Tratamiento'!$B$2:$B$5</xm:f>
          </x14:formula1>
          <xm:sqref>AD10:AD34</xm:sqref>
        </x14:dataValidation>
        <x14:dataValidation type="list" allowBlank="1" showInputMessage="1" showErrorMessage="1">
          <x14:formula1>
            <xm:f>'Tabla Impacto'!$F$210:$F$221</xm:f>
          </x14:formula1>
          <xm:sqref>J10:J34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39" t="s">
        <v>161</v>
      </c>
      <c r="C2" s="339"/>
      <c r="D2" s="339"/>
      <c r="E2" s="339"/>
      <c r="F2" s="339"/>
      <c r="G2" s="339"/>
      <c r="H2" s="339"/>
      <c r="I2" s="339"/>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39"/>
      <c r="C3" s="339"/>
      <c r="D3" s="339"/>
      <c r="E3" s="339"/>
      <c r="F3" s="339"/>
      <c r="G3" s="339"/>
      <c r="H3" s="339"/>
      <c r="I3" s="339"/>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39"/>
      <c r="C4" s="339"/>
      <c r="D4" s="339"/>
      <c r="E4" s="339"/>
      <c r="F4" s="339"/>
      <c r="G4" s="339"/>
      <c r="H4" s="339"/>
      <c r="I4" s="339"/>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52" t="s">
        <v>4</v>
      </c>
      <c r="C6" s="252"/>
      <c r="D6" s="253"/>
      <c r="E6" s="290" t="s">
        <v>116</v>
      </c>
      <c r="F6" s="291"/>
      <c r="G6" s="291"/>
      <c r="H6" s="291"/>
      <c r="I6" s="292"/>
      <c r="J6" s="302" t="str">
        <f>IF(AND('Mapa final'!$H$10="Muy Alta",'Mapa final'!$L$10="Leve"),CONCATENATE("R",'Mapa final'!$A$10),"")</f>
        <v/>
      </c>
      <c r="K6" s="303"/>
      <c r="L6" s="303" t="str">
        <f>IF(AND('Mapa final'!$H$11="Muy Alta",'Mapa final'!$L$11="Leve"),CONCATENATE("R",'Mapa final'!$A$11),"")</f>
        <v/>
      </c>
      <c r="M6" s="303"/>
      <c r="N6" s="303" t="str">
        <f>IF(AND('Mapa final'!$H$12="Muy Alta",'Mapa final'!$L$12="Leve"),CONCATENATE("R",'Mapa final'!$A$12),"")</f>
        <v/>
      </c>
      <c r="O6" s="305"/>
      <c r="P6" s="302" t="str">
        <f>IF(AND('Mapa final'!$H$10="Muy Alta",'Mapa final'!$L$10="Menor"),CONCATENATE("R",'Mapa final'!$A$10),"")</f>
        <v/>
      </c>
      <c r="Q6" s="303"/>
      <c r="R6" s="303" t="str">
        <f>IF(AND('Mapa final'!$H$11="Muy Alta",'Mapa final'!$L$11="Menor"),CONCATENATE("R",'Mapa final'!$A$11),"")</f>
        <v/>
      </c>
      <c r="S6" s="303"/>
      <c r="T6" s="303" t="str">
        <f>IF(AND('Mapa final'!$H$12="Muy Alta",'Mapa final'!$L$12="Menor"),CONCATENATE("R",'Mapa final'!$A$12),"")</f>
        <v/>
      </c>
      <c r="U6" s="305"/>
      <c r="V6" s="302" t="str">
        <f>IF(AND('Mapa final'!$H$10="Muy Alta",'Mapa final'!$L$10="Moderado"),CONCATENATE("R",'Mapa final'!$A$10),"")</f>
        <v/>
      </c>
      <c r="W6" s="303"/>
      <c r="X6" s="303" t="str">
        <f>IF(AND('Mapa final'!$H$11="Muy Alta",'Mapa final'!$L$11="Moderado"),CONCATENATE("R",'Mapa final'!$A$11),"")</f>
        <v/>
      </c>
      <c r="Y6" s="303"/>
      <c r="Z6" s="303" t="str">
        <f>IF(AND('Mapa final'!$H$12="Muy Alta",'Mapa final'!$L$12="Moderado"),CONCATENATE("R",'Mapa final'!$A$12),"")</f>
        <v/>
      </c>
      <c r="AA6" s="305"/>
      <c r="AB6" s="302" t="str">
        <f>IF(AND('Mapa final'!$H$10="Muy Alta",'Mapa final'!$L$10="Mayor"),CONCATENATE("R",'Mapa final'!$A$10),"")</f>
        <v/>
      </c>
      <c r="AC6" s="303"/>
      <c r="AD6" s="303" t="str">
        <f>IF(AND('Mapa final'!$H$11="Muy Alta",'Mapa final'!$L$11="Mayor"),CONCATENATE("R",'Mapa final'!$A$11),"")</f>
        <v/>
      </c>
      <c r="AE6" s="303"/>
      <c r="AF6" s="303" t="str">
        <f>IF(AND('Mapa final'!$H$12="Muy Alta",'Mapa final'!$L$12="Mayor"),CONCATENATE("R",'Mapa final'!$A$12),"")</f>
        <v/>
      </c>
      <c r="AG6" s="305"/>
      <c r="AH6" s="318" t="str">
        <f>IF(AND('Mapa final'!$H$10="Muy Alta",'Mapa final'!$L$10="Catastrófico"),CONCATENATE("R",'Mapa final'!$A$10),"")</f>
        <v/>
      </c>
      <c r="AI6" s="319"/>
      <c r="AJ6" s="319" t="str">
        <f>IF(AND('Mapa final'!$H$11="Muy Alta",'Mapa final'!$L$11="Catastrófico"),CONCATENATE("R",'Mapa final'!$A$11),"")</f>
        <v/>
      </c>
      <c r="AK6" s="319"/>
      <c r="AL6" s="319" t="str">
        <f>IF(AND('Mapa final'!$H$12="Muy Alta",'Mapa final'!$L$12="Catastrófico"),CONCATENATE("R",'Mapa final'!$A$12),"")</f>
        <v/>
      </c>
      <c r="AM6" s="320"/>
      <c r="AO6" s="254" t="s">
        <v>79</v>
      </c>
      <c r="AP6" s="255"/>
      <c r="AQ6" s="255"/>
      <c r="AR6" s="255"/>
      <c r="AS6" s="255"/>
      <c r="AT6" s="25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52"/>
      <c r="C7" s="252"/>
      <c r="D7" s="253"/>
      <c r="E7" s="293"/>
      <c r="F7" s="294"/>
      <c r="G7" s="294"/>
      <c r="H7" s="294"/>
      <c r="I7" s="295"/>
      <c r="J7" s="304"/>
      <c r="K7" s="301"/>
      <c r="L7" s="301"/>
      <c r="M7" s="301"/>
      <c r="N7" s="301"/>
      <c r="O7" s="300"/>
      <c r="P7" s="304"/>
      <c r="Q7" s="301"/>
      <c r="R7" s="301"/>
      <c r="S7" s="301"/>
      <c r="T7" s="301"/>
      <c r="U7" s="300"/>
      <c r="V7" s="304"/>
      <c r="W7" s="301"/>
      <c r="X7" s="301"/>
      <c r="Y7" s="301"/>
      <c r="Z7" s="301"/>
      <c r="AA7" s="300"/>
      <c r="AB7" s="304"/>
      <c r="AC7" s="301"/>
      <c r="AD7" s="301"/>
      <c r="AE7" s="301"/>
      <c r="AF7" s="301"/>
      <c r="AG7" s="300"/>
      <c r="AH7" s="312"/>
      <c r="AI7" s="313"/>
      <c r="AJ7" s="313"/>
      <c r="AK7" s="313"/>
      <c r="AL7" s="313"/>
      <c r="AM7" s="314"/>
      <c r="AN7" s="84"/>
      <c r="AO7" s="257"/>
      <c r="AP7" s="258"/>
      <c r="AQ7" s="258"/>
      <c r="AR7" s="258"/>
      <c r="AS7" s="258"/>
      <c r="AT7" s="25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52"/>
      <c r="C8" s="252"/>
      <c r="D8" s="253"/>
      <c r="E8" s="293"/>
      <c r="F8" s="294"/>
      <c r="G8" s="294"/>
      <c r="H8" s="294"/>
      <c r="I8" s="295"/>
      <c r="J8" s="304" t="str">
        <f>IF(AND('Mapa final'!$H$13="Muy Alta",'Mapa final'!$L$13="Leve"),CONCATENATE("R",'Mapa final'!$A$13),"")</f>
        <v/>
      </c>
      <c r="K8" s="301"/>
      <c r="L8" s="299" t="str">
        <f>IF(AND('Mapa final'!$H$14="Muy Alta",'Mapa final'!$L$14="Leve"),CONCATENATE("R",'Mapa final'!$A$14),"")</f>
        <v/>
      </c>
      <c r="M8" s="299"/>
      <c r="N8" s="299" t="str">
        <f>IF(AND('Mapa final'!$H$15="Muy Alta",'Mapa final'!$L$15="Leve"),CONCATENATE("R",'Mapa final'!$A$15),"")</f>
        <v/>
      </c>
      <c r="O8" s="300"/>
      <c r="P8" s="304" t="str">
        <f>IF(AND('Mapa final'!$H$13="Muy Alta",'Mapa final'!$L$13="Menor"),CONCATENATE("R",'Mapa final'!$A$13),"")</f>
        <v/>
      </c>
      <c r="Q8" s="301"/>
      <c r="R8" s="299" t="str">
        <f>IF(AND('Mapa final'!$H$14="Muy Alta",'Mapa final'!$L$14="Menor"),CONCATENATE("R",'Mapa final'!$A$14),"")</f>
        <v/>
      </c>
      <c r="S8" s="299"/>
      <c r="T8" s="299" t="str">
        <f>IF(AND('Mapa final'!$H$15="Muy Alta",'Mapa final'!$L$15="Menor"),CONCATENATE("R",'Mapa final'!$A$15),"")</f>
        <v/>
      </c>
      <c r="U8" s="300"/>
      <c r="V8" s="304" t="str">
        <f>IF(AND('Mapa final'!$H$13="Muy Alta",'Mapa final'!$L$13="Moderado"),CONCATENATE("R",'Mapa final'!$A$13),"")</f>
        <v/>
      </c>
      <c r="W8" s="301"/>
      <c r="X8" s="299" t="str">
        <f>IF(AND('Mapa final'!$H$14="Muy Alta",'Mapa final'!$L$14="Moderado"),CONCATENATE("R",'Mapa final'!$A$14),"")</f>
        <v/>
      </c>
      <c r="Y8" s="299"/>
      <c r="Z8" s="299" t="str">
        <f>IF(AND('Mapa final'!$H$15="Muy Alta",'Mapa final'!$L$15="Moderado"),CONCATENATE("R",'Mapa final'!$A$15),"")</f>
        <v/>
      </c>
      <c r="AA8" s="300"/>
      <c r="AB8" s="304" t="str">
        <f>IF(AND('Mapa final'!$H$13="Muy Alta",'Mapa final'!$L$13="Mayor"),CONCATENATE("R",'Mapa final'!$A$13),"")</f>
        <v/>
      </c>
      <c r="AC8" s="301"/>
      <c r="AD8" s="299" t="str">
        <f>IF(AND('Mapa final'!$H$14="Muy Alta",'Mapa final'!$L$14="Mayor"),CONCATENATE("R",'Mapa final'!$A$14),"")</f>
        <v/>
      </c>
      <c r="AE8" s="299"/>
      <c r="AF8" s="299" t="str">
        <f>IF(AND('Mapa final'!$H$15="Muy Alta",'Mapa final'!$L$15="Mayor"),CONCATENATE("R",'Mapa final'!$A$15),"")</f>
        <v/>
      </c>
      <c r="AG8" s="300"/>
      <c r="AH8" s="312" t="str">
        <f>IF(AND('Mapa final'!$H$13="Muy Alta",'Mapa final'!$L$13="Catastrófico"),CONCATENATE("R",'Mapa final'!$A$13),"")</f>
        <v/>
      </c>
      <c r="AI8" s="313"/>
      <c r="AJ8" s="313" t="str">
        <f>IF(AND('Mapa final'!$H$14="Muy Alta",'Mapa final'!$L$14="Catastrófico"),CONCATENATE("R",'Mapa final'!$A$14),"")</f>
        <v/>
      </c>
      <c r="AK8" s="313"/>
      <c r="AL8" s="313" t="str">
        <f>IF(AND('Mapa final'!$H$15="Muy Alta",'Mapa final'!$L$15="Catastrófico"),CONCATENATE("R",'Mapa final'!$A$15),"")</f>
        <v/>
      </c>
      <c r="AM8" s="314"/>
      <c r="AN8" s="84"/>
      <c r="AO8" s="257"/>
      <c r="AP8" s="258"/>
      <c r="AQ8" s="258"/>
      <c r="AR8" s="258"/>
      <c r="AS8" s="258"/>
      <c r="AT8" s="25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52"/>
      <c r="C9" s="252"/>
      <c r="D9" s="253"/>
      <c r="E9" s="293"/>
      <c r="F9" s="294"/>
      <c r="G9" s="294"/>
      <c r="H9" s="294"/>
      <c r="I9" s="295"/>
      <c r="J9" s="304"/>
      <c r="K9" s="301"/>
      <c r="L9" s="299"/>
      <c r="M9" s="299"/>
      <c r="N9" s="299"/>
      <c r="O9" s="300"/>
      <c r="P9" s="304"/>
      <c r="Q9" s="301"/>
      <c r="R9" s="299"/>
      <c r="S9" s="299"/>
      <c r="T9" s="299"/>
      <c r="U9" s="300"/>
      <c r="V9" s="304"/>
      <c r="W9" s="301"/>
      <c r="X9" s="299"/>
      <c r="Y9" s="299"/>
      <c r="Z9" s="299"/>
      <c r="AA9" s="300"/>
      <c r="AB9" s="304"/>
      <c r="AC9" s="301"/>
      <c r="AD9" s="299"/>
      <c r="AE9" s="299"/>
      <c r="AF9" s="299"/>
      <c r="AG9" s="300"/>
      <c r="AH9" s="312"/>
      <c r="AI9" s="313"/>
      <c r="AJ9" s="313"/>
      <c r="AK9" s="313"/>
      <c r="AL9" s="313"/>
      <c r="AM9" s="314"/>
      <c r="AN9" s="84"/>
      <c r="AO9" s="257"/>
      <c r="AP9" s="258"/>
      <c r="AQ9" s="258"/>
      <c r="AR9" s="258"/>
      <c r="AS9" s="258"/>
      <c r="AT9" s="25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52"/>
      <c r="C10" s="252"/>
      <c r="D10" s="253"/>
      <c r="E10" s="293"/>
      <c r="F10" s="294"/>
      <c r="G10" s="294"/>
      <c r="H10" s="294"/>
      <c r="I10" s="295"/>
      <c r="J10" s="304" t="str">
        <f>IF(AND('Mapa final'!$H$16="Muy Alta",'Mapa final'!$L$16="Leve"),CONCATENATE("R",'Mapa final'!$A$16),"")</f>
        <v/>
      </c>
      <c r="K10" s="301"/>
      <c r="L10" s="299" t="str">
        <f>IF(AND('Mapa final'!$H$17="Muy Alta",'Mapa final'!$L$17="Leve"),CONCATENATE("R",'Mapa final'!$A$17),"")</f>
        <v/>
      </c>
      <c r="M10" s="299"/>
      <c r="N10" s="299" t="str">
        <f>IF(AND('Mapa final'!$H$23="Muy Alta",'Mapa final'!$L$23="Leve"),CONCATENATE("R",'Mapa final'!$A$23),"")</f>
        <v/>
      </c>
      <c r="O10" s="300"/>
      <c r="P10" s="304" t="str">
        <f>IF(AND('Mapa final'!$H$16="Muy Alta",'Mapa final'!$L$16="Menor"),CONCATENATE("R",'Mapa final'!$A$16),"")</f>
        <v/>
      </c>
      <c r="Q10" s="301"/>
      <c r="R10" s="299" t="str">
        <f>IF(AND('Mapa final'!$H$17="Muy Alta",'Mapa final'!$L$17="Menor"),CONCATENATE("R",'Mapa final'!$A$17),"")</f>
        <v/>
      </c>
      <c r="S10" s="299"/>
      <c r="T10" s="299" t="str">
        <f>IF(AND('Mapa final'!$H$23="Muy Alta",'Mapa final'!$L$23="Menor"),CONCATENATE("R",'Mapa final'!$A$23),"")</f>
        <v/>
      </c>
      <c r="U10" s="300"/>
      <c r="V10" s="304" t="str">
        <f>IF(AND('Mapa final'!$H$16="Muy Alta",'Mapa final'!$L$16="Moderado"),CONCATENATE("R",'Mapa final'!$A$16),"")</f>
        <v/>
      </c>
      <c r="W10" s="301"/>
      <c r="X10" s="299" t="str">
        <f>IF(AND('Mapa final'!$H$17="Muy Alta",'Mapa final'!$L$17="Moderado"),CONCATENATE("R",'Mapa final'!$A$17),"")</f>
        <v/>
      </c>
      <c r="Y10" s="299"/>
      <c r="Z10" s="299" t="str">
        <f>IF(AND('Mapa final'!$H$23="Muy Alta",'Mapa final'!$L$23="Moderado"),CONCATENATE("R",'Mapa final'!$A$23),"")</f>
        <v/>
      </c>
      <c r="AA10" s="300"/>
      <c r="AB10" s="304" t="str">
        <f>IF(AND('Mapa final'!$H$16="Muy Alta",'Mapa final'!$L$16="Mayor"),CONCATENATE("R",'Mapa final'!$A$16),"")</f>
        <v/>
      </c>
      <c r="AC10" s="301"/>
      <c r="AD10" s="299" t="str">
        <f>IF(AND('Mapa final'!$H$17="Muy Alta",'Mapa final'!$L$17="Mayor"),CONCATENATE("R",'Mapa final'!$A$17),"")</f>
        <v/>
      </c>
      <c r="AE10" s="299"/>
      <c r="AF10" s="299" t="str">
        <f>IF(AND('Mapa final'!$H$23="Muy Alta",'Mapa final'!$L$23="Mayor"),CONCATENATE("R",'Mapa final'!$A$23),"")</f>
        <v/>
      </c>
      <c r="AG10" s="300"/>
      <c r="AH10" s="312" t="str">
        <f>IF(AND('Mapa final'!$H$16="Muy Alta",'Mapa final'!$L$16="Catastrófico"),CONCATENATE("R",'Mapa final'!$A$16),"")</f>
        <v/>
      </c>
      <c r="AI10" s="313"/>
      <c r="AJ10" s="313" t="str">
        <f>IF(AND('Mapa final'!$H$17="Muy Alta",'Mapa final'!$L$17="Catastrófico"),CONCATENATE("R",'Mapa final'!$A$17),"")</f>
        <v/>
      </c>
      <c r="AK10" s="313"/>
      <c r="AL10" s="313" t="str">
        <f>IF(AND('Mapa final'!$H$23="Muy Alta",'Mapa final'!$L$23="Catastrófico"),CONCATENATE("R",'Mapa final'!$A$23),"")</f>
        <v/>
      </c>
      <c r="AM10" s="314"/>
      <c r="AN10" s="84"/>
      <c r="AO10" s="257"/>
      <c r="AP10" s="258"/>
      <c r="AQ10" s="258"/>
      <c r="AR10" s="258"/>
      <c r="AS10" s="258"/>
      <c r="AT10" s="25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52"/>
      <c r="C11" s="252"/>
      <c r="D11" s="253"/>
      <c r="E11" s="293"/>
      <c r="F11" s="294"/>
      <c r="G11" s="294"/>
      <c r="H11" s="294"/>
      <c r="I11" s="295"/>
      <c r="J11" s="304"/>
      <c r="K11" s="301"/>
      <c r="L11" s="299"/>
      <c r="M11" s="299"/>
      <c r="N11" s="299"/>
      <c r="O11" s="300"/>
      <c r="P11" s="304"/>
      <c r="Q11" s="301"/>
      <c r="R11" s="299"/>
      <c r="S11" s="299"/>
      <c r="T11" s="299"/>
      <c r="U11" s="300"/>
      <c r="V11" s="304"/>
      <c r="W11" s="301"/>
      <c r="X11" s="299"/>
      <c r="Y11" s="299"/>
      <c r="Z11" s="299"/>
      <c r="AA11" s="300"/>
      <c r="AB11" s="304"/>
      <c r="AC11" s="301"/>
      <c r="AD11" s="299"/>
      <c r="AE11" s="299"/>
      <c r="AF11" s="299"/>
      <c r="AG11" s="300"/>
      <c r="AH11" s="312"/>
      <c r="AI11" s="313"/>
      <c r="AJ11" s="313"/>
      <c r="AK11" s="313"/>
      <c r="AL11" s="313"/>
      <c r="AM11" s="314"/>
      <c r="AN11" s="84"/>
      <c r="AO11" s="257"/>
      <c r="AP11" s="258"/>
      <c r="AQ11" s="258"/>
      <c r="AR11" s="258"/>
      <c r="AS11" s="258"/>
      <c r="AT11" s="25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52"/>
      <c r="C12" s="252"/>
      <c r="D12" s="253"/>
      <c r="E12" s="293"/>
      <c r="F12" s="294"/>
      <c r="G12" s="294"/>
      <c r="H12" s="294"/>
      <c r="I12" s="295"/>
      <c r="J12" s="304" t="str">
        <f>IF(AND('Mapa final'!$H$29="Muy Alta",'Mapa final'!$L$29="Leve"),CONCATENATE("R",'Mapa final'!$A$29),"")</f>
        <v/>
      </c>
      <c r="K12" s="301"/>
      <c r="L12" s="299" t="str">
        <f>IF(AND('Mapa final'!$H$35="Muy Alta",'Mapa final'!$L$35="Leve"),CONCATENATE("R",'Mapa final'!$A$35),"")</f>
        <v/>
      </c>
      <c r="M12" s="299"/>
      <c r="N12" s="299" t="str">
        <f>IF(AND('Mapa final'!$H$41="Muy Alta",'Mapa final'!$L$41="Leve"),CONCATENATE("R",'Mapa final'!$A$41),"")</f>
        <v/>
      </c>
      <c r="O12" s="300"/>
      <c r="P12" s="304" t="str">
        <f>IF(AND('Mapa final'!$H$29="Muy Alta",'Mapa final'!$L$29="Menor"),CONCATENATE("R",'Mapa final'!$A$29),"")</f>
        <v/>
      </c>
      <c r="Q12" s="301"/>
      <c r="R12" s="299" t="str">
        <f>IF(AND('Mapa final'!$H$35="Muy Alta",'Mapa final'!$L$35="Menor"),CONCATENATE("R",'Mapa final'!$A$35),"")</f>
        <v/>
      </c>
      <c r="S12" s="299"/>
      <c r="T12" s="299" t="str">
        <f>IF(AND('Mapa final'!$H$41="Muy Alta",'Mapa final'!$L$41="Menor"),CONCATENATE("R",'Mapa final'!$A$41),"")</f>
        <v/>
      </c>
      <c r="U12" s="300"/>
      <c r="V12" s="304" t="str">
        <f>IF(AND('Mapa final'!$H$29="Muy Alta",'Mapa final'!$L$29="Moderado"),CONCATENATE("R",'Mapa final'!$A$29),"")</f>
        <v/>
      </c>
      <c r="W12" s="301"/>
      <c r="X12" s="299" t="str">
        <f>IF(AND('Mapa final'!$H$35="Muy Alta",'Mapa final'!$L$35="Moderado"),CONCATENATE("R",'Mapa final'!$A$35),"")</f>
        <v/>
      </c>
      <c r="Y12" s="299"/>
      <c r="Z12" s="299" t="str">
        <f>IF(AND('Mapa final'!$H$41="Muy Alta",'Mapa final'!$L$41="Moderado"),CONCATENATE("R",'Mapa final'!$A$41),"")</f>
        <v/>
      </c>
      <c r="AA12" s="300"/>
      <c r="AB12" s="304" t="str">
        <f>IF(AND('Mapa final'!$H$29="Muy Alta",'Mapa final'!$L$29="Mayor"),CONCATENATE("R",'Mapa final'!$A$29),"")</f>
        <v/>
      </c>
      <c r="AC12" s="301"/>
      <c r="AD12" s="299" t="str">
        <f>IF(AND('Mapa final'!$H$35="Muy Alta",'Mapa final'!$L$35="Mayor"),CONCATENATE("R",'Mapa final'!$A$35),"")</f>
        <v/>
      </c>
      <c r="AE12" s="299"/>
      <c r="AF12" s="299" t="str">
        <f>IF(AND('Mapa final'!$H$41="Muy Alta",'Mapa final'!$L$41="Mayor"),CONCATENATE("R",'Mapa final'!$A$41),"")</f>
        <v/>
      </c>
      <c r="AG12" s="300"/>
      <c r="AH12" s="312" t="str">
        <f>IF(AND('Mapa final'!$H$29="Muy Alta",'Mapa final'!$L$29="Catastrófico"),CONCATENATE("R",'Mapa final'!$A$29),"")</f>
        <v/>
      </c>
      <c r="AI12" s="313"/>
      <c r="AJ12" s="313" t="str">
        <f>IF(AND('Mapa final'!$H$35="Muy Alta",'Mapa final'!$L$35="Catastrófico"),CONCATENATE("R",'Mapa final'!$A$35),"")</f>
        <v/>
      </c>
      <c r="AK12" s="313"/>
      <c r="AL12" s="313" t="str">
        <f>IF(AND('Mapa final'!$H$41="Muy Alta",'Mapa final'!$L$41="Catastrófico"),CONCATENATE("R",'Mapa final'!$A$41),"")</f>
        <v/>
      </c>
      <c r="AM12" s="314"/>
      <c r="AN12" s="84"/>
      <c r="AO12" s="257"/>
      <c r="AP12" s="258"/>
      <c r="AQ12" s="258"/>
      <c r="AR12" s="258"/>
      <c r="AS12" s="258"/>
      <c r="AT12" s="25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52"/>
      <c r="C13" s="252"/>
      <c r="D13" s="253"/>
      <c r="E13" s="296"/>
      <c r="F13" s="297"/>
      <c r="G13" s="297"/>
      <c r="H13" s="297"/>
      <c r="I13" s="298"/>
      <c r="J13" s="304"/>
      <c r="K13" s="301"/>
      <c r="L13" s="301"/>
      <c r="M13" s="301"/>
      <c r="N13" s="301"/>
      <c r="O13" s="300"/>
      <c r="P13" s="304"/>
      <c r="Q13" s="301"/>
      <c r="R13" s="301"/>
      <c r="S13" s="301"/>
      <c r="T13" s="301"/>
      <c r="U13" s="300"/>
      <c r="V13" s="304"/>
      <c r="W13" s="301"/>
      <c r="X13" s="301"/>
      <c r="Y13" s="301"/>
      <c r="Z13" s="301"/>
      <c r="AA13" s="300"/>
      <c r="AB13" s="304"/>
      <c r="AC13" s="301"/>
      <c r="AD13" s="301"/>
      <c r="AE13" s="301"/>
      <c r="AF13" s="301"/>
      <c r="AG13" s="300"/>
      <c r="AH13" s="315"/>
      <c r="AI13" s="316"/>
      <c r="AJ13" s="316"/>
      <c r="AK13" s="316"/>
      <c r="AL13" s="316"/>
      <c r="AM13" s="317"/>
      <c r="AN13" s="84"/>
      <c r="AO13" s="260"/>
      <c r="AP13" s="261"/>
      <c r="AQ13" s="261"/>
      <c r="AR13" s="261"/>
      <c r="AS13" s="261"/>
      <c r="AT13" s="26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52"/>
      <c r="C14" s="252"/>
      <c r="D14" s="253"/>
      <c r="E14" s="290" t="s">
        <v>115</v>
      </c>
      <c r="F14" s="291"/>
      <c r="G14" s="291"/>
      <c r="H14" s="291"/>
      <c r="I14" s="291"/>
      <c r="J14" s="327" t="str">
        <f>IF(AND('Mapa final'!$H$10="Alta",'Mapa final'!$L$10="Leve"),CONCATENATE("R",'Mapa final'!$A$10),"")</f>
        <v/>
      </c>
      <c r="K14" s="328"/>
      <c r="L14" s="328" t="str">
        <f>IF(AND('Mapa final'!$H$11="Alta",'Mapa final'!$L$11="Leve"),CONCATENATE("R",'Mapa final'!$A$11),"")</f>
        <v/>
      </c>
      <c r="M14" s="328"/>
      <c r="N14" s="328" t="str">
        <f>IF(AND('Mapa final'!$H$12="Alta",'Mapa final'!$L$12="Leve"),CONCATENATE("R",'Mapa final'!$A$12),"")</f>
        <v/>
      </c>
      <c r="O14" s="329"/>
      <c r="P14" s="327" t="str">
        <f>IF(AND('Mapa final'!$H$10="Alta",'Mapa final'!$L$10="Menor"),CONCATENATE("R",'Mapa final'!$A$10),"")</f>
        <v/>
      </c>
      <c r="Q14" s="328"/>
      <c r="R14" s="328" t="str">
        <f>IF(AND('Mapa final'!$H$11="Alta",'Mapa final'!$L$11="Menor"),CONCATENATE("R",'Mapa final'!$A$11),"")</f>
        <v/>
      </c>
      <c r="S14" s="328"/>
      <c r="T14" s="328" t="str">
        <f>IF(AND('Mapa final'!$H$12="Alta",'Mapa final'!$L$12="Menor"),CONCATENATE("R",'Mapa final'!$A$12),"")</f>
        <v/>
      </c>
      <c r="U14" s="329"/>
      <c r="V14" s="302" t="str">
        <f>IF(AND('Mapa final'!$H$10="Alta",'Mapa final'!$L$10="Moderado"),CONCATENATE("R",'Mapa final'!$A$10),"")</f>
        <v/>
      </c>
      <c r="W14" s="303"/>
      <c r="X14" s="303" t="str">
        <f>IF(AND('Mapa final'!$H$11="Alta",'Mapa final'!$L$11="Moderado"),CONCATENATE("R",'Mapa final'!$A$11),"")</f>
        <v/>
      </c>
      <c r="Y14" s="303"/>
      <c r="Z14" s="303" t="str">
        <f>IF(AND('Mapa final'!$H$12="Alta",'Mapa final'!$L$12="Moderado"),CONCATENATE("R",'Mapa final'!$A$12),"")</f>
        <v>R3</v>
      </c>
      <c r="AA14" s="305"/>
      <c r="AB14" s="302" t="str">
        <f>IF(AND('Mapa final'!$H$10="Alta",'Mapa final'!$L$10="Mayor"),CONCATENATE("R",'Mapa final'!$A$10),"")</f>
        <v/>
      </c>
      <c r="AC14" s="303"/>
      <c r="AD14" s="303" t="str">
        <f>IF(AND('Mapa final'!$H$11="Alta",'Mapa final'!$L$11="Mayor"),CONCATENATE("R",'Mapa final'!$A$11),"")</f>
        <v/>
      </c>
      <c r="AE14" s="303"/>
      <c r="AF14" s="303" t="str">
        <f>IF(AND('Mapa final'!$H$12="Alta",'Mapa final'!$L$12="Mayor"),CONCATENATE("R",'Mapa final'!$A$12),"")</f>
        <v/>
      </c>
      <c r="AG14" s="305"/>
      <c r="AH14" s="318" t="str">
        <f>IF(AND('Mapa final'!$H$10="Alta",'Mapa final'!$L$10="Catastrófico"),CONCATENATE("R",'Mapa final'!$A$10),"")</f>
        <v/>
      </c>
      <c r="AI14" s="319"/>
      <c r="AJ14" s="319" t="str">
        <f>IF(AND('Mapa final'!$H$11="Alta",'Mapa final'!$L$11="Catastrófico"),CONCATENATE("R",'Mapa final'!$A$11),"")</f>
        <v/>
      </c>
      <c r="AK14" s="319"/>
      <c r="AL14" s="319" t="str">
        <f>IF(AND('Mapa final'!$H$12="Alta",'Mapa final'!$L$12="Catastrófico"),CONCATENATE("R",'Mapa final'!$A$12),"")</f>
        <v/>
      </c>
      <c r="AM14" s="320"/>
      <c r="AN14" s="84"/>
      <c r="AO14" s="263" t="s">
        <v>80</v>
      </c>
      <c r="AP14" s="264"/>
      <c r="AQ14" s="264"/>
      <c r="AR14" s="264"/>
      <c r="AS14" s="264"/>
      <c r="AT14" s="26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52"/>
      <c r="C15" s="252"/>
      <c r="D15" s="253"/>
      <c r="E15" s="293"/>
      <c r="F15" s="294"/>
      <c r="G15" s="294"/>
      <c r="H15" s="294"/>
      <c r="I15" s="307"/>
      <c r="J15" s="321"/>
      <c r="K15" s="322"/>
      <c r="L15" s="322"/>
      <c r="M15" s="322"/>
      <c r="N15" s="322"/>
      <c r="O15" s="323"/>
      <c r="P15" s="321"/>
      <c r="Q15" s="322"/>
      <c r="R15" s="322"/>
      <c r="S15" s="322"/>
      <c r="T15" s="322"/>
      <c r="U15" s="323"/>
      <c r="V15" s="304"/>
      <c r="W15" s="301"/>
      <c r="X15" s="301"/>
      <c r="Y15" s="301"/>
      <c r="Z15" s="301"/>
      <c r="AA15" s="300"/>
      <c r="AB15" s="304"/>
      <c r="AC15" s="301"/>
      <c r="AD15" s="301"/>
      <c r="AE15" s="301"/>
      <c r="AF15" s="301"/>
      <c r="AG15" s="300"/>
      <c r="AH15" s="312"/>
      <c r="AI15" s="313"/>
      <c r="AJ15" s="313"/>
      <c r="AK15" s="313"/>
      <c r="AL15" s="313"/>
      <c r="AM15" s="314"/>
      <c r="AN15" s="84"/>
      <c r="AO15" s="266"/>
      <c r="AP15" s="267"/>
      <c r="AQ15" s="267"/>
      <c r="AR15" s="267"/>
      <c r="AS15" s="267"/>
      <c r="AT15" s="26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52"/>
      <c r="C16" s="252"/>
      <c r="D16" s="253"/>
      <c r="E16" s="293"/>
      <c r="F16" s="294"/>
      <c r="G16" s="294"/>
      <c r="H16" s="294"/>
      <c r="I16" s="307"/>
      <c r="J16" s="321" t="str">
        <f>IF(AND('Mapa final'!$H$13="Alta",'Mapa final'!$L$13="Leve"),CONCATENATE("R",'Mapa final'!$A$13),"")</f>
        <v/>
      </c>
      <c r="K16" s="322"/>
      <c r="L16" s="322" t="str">
        <f>IF(AND('Mapa final'!$H$14="Alta",'Mapa final'!$L$14="Leve"),CONCATENATE("R",'Mapa final'!$A$14),"")</f>
        <v/>
      </c>
      <c r="M16" s="322"/>
      <c r="N16" s="322" t="str">
        <f>IF(AND('Mapa final'!$H$15="Alta",'Mapa final'!$L$15="Leve"),CONCATENATE("R",'Mapa final'!$A$15),"")</f>
        <v/>
      </c>
      <c r="O16" s="323"/>
      <c r="P16" s="321" t="str">
        <f>IF(AND('Mapa final'!$H$13="Alta",'Mapa final'!$L$13="Menor"),CONCATENATE("R",'Mapa final'!$A$13),"")</f>
        <v/>
      </c>
      <c r="Q16" s="322"/>
      <c r="R16" s="322" t="str">
        <f>IF(AND('Mapa final'!$H$14="Alta",'Mapa final'!$L$14="Menor"),CONCATENATE("R",'Mapa final'!$A$14),"")</f>
        <v/>
      </c>
      <c r="S16" s="322"/>
      <c r="T16" s="322" t="str">
        <f>IF(AND('Mapa final'!$H$15="Alta",'Mapa final'!$L$15="Menor"),CONCATENATE("R",'Mapa final'!$A$15),"")</f>
        <v/>
      </c>
      <c r="U16" s="323"/>
      <c r="V16" s="304" t="str">
        <f>IF(AND('Mapa final'!$H$13="Alta",'Mapa final'!$L$13="Moderado"),CONCATENATE("R",'Mapa final'!$A$13),"")</f>
        <v/>
      </c>
      <c r="W16" s="301"/>
      <c r="X16" s="299" t="str">
        <f>IF(AND('Mapa final'!$H$14="Alta",'Mapa final'!$L$14="Moderado"),CONCATENATE("R",'Mapa final'!$A$14),"")</f>
        <v/>
      </c>
      <c r="Y16" s="299"/>
      <c r="Z16" s="299" t="str">
        <f>IF(AND('Mapa final'!$H$15="Alta",'Mapa final'!$L$15="Moderado"),CONCATENATE("R",'Mapa final'!$A$15),"")</f>
        <v/>
      </c>
      <c r="AA16" s="300"/>
      <c r="AB16" s="304" t="str">
        <f>IF(AND('Mapa final'!$H$13="Alta",'Mapa final'!$L$13="Mayor"),CONCATENATE("R",'Mapa final'!$A$13),"")</f>
        <v>R4</v>
      </c>
      <c r="AC16" s="301"/>
      <c r="AD16" s="299" t="str">
        <f>IF(AND('Mapa final'!$H$14="Alta",'Mapa final'!$L$14="Mayor"),CONCATENATE("R",'Mapa final'!$A$14),"")</f>
        <v>R5</v>
      </c>
      <c r="AE16" s="299"/>
      <c r="AF16" s="299" t="str">
        <f>IF(AND('Mapa final'!$H$15="Alta",'Mapa final'!$L$15="Mayor"),CONCATENATE("R",'Mapa final'!$A$15),"")</f>
        <v/>
      </c>
      <c r="AG16" s="300"/>
      <c r="AH16" s="312" t="str">
        <f>IF(AND('Mapa final'!$H$13="Alta",'Mapa final'!$L$13="Catastrófico"),CONCATENATE("R",'Mapa final'!$A$13),"")</f>
        <v/>
      </c>
      <c r="AI16" s="313"/>
      <c r="AJ16" s="313" t="str">
        <f>IF(AND('Mapa final'!$H$14="Alta",'Mapa final'!$L$14="Catastrófico"),CONCATENATE("R",'Mapa final'!$A$14),"")</f>
        <v/>
      </c>
      <c r="AK16" s="313"/>
      <c r="AL16" s="313" t="str">
        <f>IF(AND('Mapa final'!$H$15="Alta",'Mapa final'!$L$15="Catastrófico"),CONCATENATE("R",'Mapa final'!$A$15),"")</f>
        <v/>
      </c>
      <c r="AM16" s="314"/>
      <c r="AN16" s="84"/>
      <c r="AO16" s="266"/>
      <c r="AP16" s="267"/>
      <c r="AQ16" s="267"/>
      <c r="AR16" s="267"/>
      <c r="AS16" s="267"/>
      <c r="AT16" s="26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52"/>
      <c r="C17" s="252"/>
      <c r="D17" s="253"/>
      <c r="E17" s="293"/>
      <c r="F17" s="294"/>
      <c r="G17" s="294"/>
      <c r="H17" s="294"/>
      <c r="I17" s="307"/>
      <c r="J17" s="321"/>
      <c r="K17" s="322"/>
      <c r="L17" s="322"/>
      <c r="M17" s="322"/>
      <c r="N17" s="322"/>
      <c r="O17" s="323"/>
      <c r="P17" s="321"/>
      <c r="Q17" s="322"/>
      <c r="R17" s="322"/>
      <c r="S17" s="322"/>
      <c r="T17" s="322"/>
      <c r="U17" s="323"/>
      <c r="V17" s="304"/>
      <c r="W17" s="301"/>
      <c r="X17" s="299"/>
      <c r="Y17" s="299"/>
      <c r="Z17" s="299"/>
      <c r="AA17" s="300"/>
      <c r="AB17" s="304"/>
      <c r="AC17" s="301"/>
      <c r="AD17" s="299"/>
      <c r="AE17" s="299"/>
      <c r="AF17" s="299"/>
      <c r="AG17" s="300"/>
      <c r="AH17" s="312"/>
      <c r="AI17" s="313"/>
      <c r="AJ17" s="313"/>
      <c r="AK17" s="313"/>
      <c r="AL17" s="313"/>
      <c r="AM17" s="314"/>
      <c r="AN17" s="84"/>
      <c r="AO17" s="266"/>
      <c r="AP17" s="267"/>
      <c r="AQ17" s="267"/>
      <c r="AR17" s="267"/>
      <c r="AS17" s="267"/>
      <c r="AT17" s="26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52"/>
      <c r="C18" s="252"/>
      <c r="D18" s="253"/>
      <c r="E18" s="293"/>
      <c r="F18" s="294"/>
      <c r="G18" s="294"/>
      <c r="H18" s="294"/>
      <c r="I18" s="307"/>
      <c r="J18" s="321" t="str">
        <f>IF(AND('Mapa final'!$H$16="Alta",'Mapa final'!$L$16="Leve"),CONCATENATE("R",'Mapa final'!$A$16),"")</f>
        <v/>
      </c>
      <c r="K18" s="322"/>
      <c r="L18" s="322" t="str">
        <f>IF(AND('Mapa final'!$H$17="Alta",'Mapa final'!$L$17="Leve"),CONCATENATE("R",'Mapa final'!$A$17),"")</f>
        <v/>
      </c>
      <c r="M18" s="322"/>
      <c r="N18" s="322" t="str">
        <f>IF(AND('Mapa final'!$H$23="Alta",'Mapa final'!$L$23="Leve"),CONCATENATE("R",'Mapa final'!$A$23),"")</f>
        <v/>
      </c>
      <c r="O18" s="323"/>
      <c r="P18" s="321" t="str">
        <f>IF(AND('Mapa final'!$H$16="Alta",'Mapa final'!$L$16="Menor"),CONCATENATE("R",'Mapa final'!$A$16),"")</f>
        <v/>
      </c>
      <c r="Q18" s="322"/>
      <c r="R18" s="322" t="str">
        <f>IF(AND('Mapa final'!$H$17="Alta",'Mapa final'!$L$17="Menor"),CONCATENATE("R",'Mapa final'!$A$17),"")</f>
        <v/>
      </c>
      <c r="S18" s="322"/>
      <c r="T18" s="322" t="str">
        <f>IF(AND('Mapa final'!$H$23="Alta",'Mapa final'!$L$23="Menor"),CONCATENATE("R",'Mapa final'!$A$23),"")</f>
        <v/>
      </c>
      <c r="U18" s="323"/>
      <c r="V18" s="304" t="str">
        <f>IF(AND('Mapa final'!$H$16="Alta",'Mapa final'!$L$16="Moderado"),CONCATENATE("R",'Mapa final'!$A$16),"")</f>
        <v/>
      </c>
      <c r="W18" s="301"/>
      <c r="X18" s="299" t="str">
        <f>IF(AND('Mapa final'!$H$17="Alta",'Mapa final'!$L$17="Moderado"),CONCATENATE("R",'Mapa final'!$A$17),"")</f>
        <v/>
      </c>
      <c r="Y18" s="299"/>
      <c r="Z18" s="299" t="str">
        <f>IF(AND('Mapa final'!$H$23="Alta",'Mapa final'!$L$23="Moderado"),CONCATENATE("R",'Mapa final'!$A$23),"")</f>
        <v/>
      </c>
      <c r="AA18" s="300"/>
      <c r="AB18" s="304" t="str">
        <f>IF(AND('Mapa final'!$H$16="Alta",'Mapa final'!$L$16="Mayor"),CONCATENATE("R",'Mapa final'!$A$16),"")</f>
        <v/>
      </c>
      <c r="AC18" s="301"/>
      <c r="AD18" s="299" t="str">
        <f>IF(AND('Mapa final'!$H$17="Alta",'Mapa final'!$L$17="Mayor"),CONCATENATE("R",'Mapa final'!$A$17),"")</f>
        <v/>
      </c>
      <c r="AE18" s="299"/>
      <c r="AF18" s="299" t="str">
        <f>IF(AND('Mapa final'!$H$23="Alta",'Mapa final'!$L$23="Mayor"),CONCATENATE("R",'Mapa final'!$A$23),"")</f>
        <v/>
      </c>
      <c r="AG18" s="300"/>
      <c r="AH18" s="312" t="str">
        <f>IF(AND('Mapa final'!$H$16="Alta",'Mapa final'!$L$16="Catastrófico"),CONCATENATE("R",'Mapa final'!$A$16),"")</f>
        <v/>
      </c>
      <c r="AI18" s="313"/>
      <c r="AJ18" s="313" t="str">
        <f>IF(AND('Mapa final'!$H$17="Alta",'Mapa final'!$L$17="Catastrófico"),CONCATENATE("R",'Mapa final'!$A$17),"")</f>
        <v/>
      </c>
      <c r="AK18" s="313"/>
      <c r="AL18" s="313" t="str">
        <f>IF(AND('Mapa final'!$H$23="Alta",'Mapa final'!$L$23="Catastrófico"),CONCATENATE("R",'Mapa final'!$A$23),"")</f>
        <v/>
      </c>
      <c r="AM18" s="314"/>
      <c r="AN18" s="84"/>
      <c r="AO18" s="266"/>
      <c r="AP18" s="267"/>
      <c r="AQ18" s="267"/>
      <c r="AR18" s="267"/>
      <c r="AS18" s="267"/>
      <c r="AT18" s="26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52"/>
      <c r="C19" s="252"/>
      <c r="D19" s="253"/>
      <c r="E19" s="293"/>
      <c r="F19" s="294"/>
      <c r="G19" s="294"/>
      <c r="H19" s="294"/>
      <c r="I19" s="307"/>
      <c r="J19" s="321"/>
      <c r="K19" s="322"/>
      <c r="L19" s="322"/>
      <c r="M19" s="322"/>
      <c r="N19" s="322"/>
      <c r="O19" s="323"/>
      <c r="P19" s="321"/>
      <c r="Q19" s="322"/>
      <c r="R19" s="322"/>
      <c r="S19" s="322"/>
      <c r="T19" s="322"/>
      <c r="U19" s="323"/>
      <c r="V19" s="304"/>
      <c r="W19" s="301"/>
      <c r="X19" s="299"/>
      <c r="Y19" s="299"/>
      <c r="Z19" s="299"/>
      <c r="AA19" s="300"/>
      <c r="AB19" s="304"/>
      <c r="AC19" s="301"/>
      <c r="AD19" s="299"/>
      <c r="AE19" s="299"/>
      <c r="AF19" s="299"/>
      <c r="AG19" s="300"/>
      <c r="AH19" s="312"/>
      <c r="AI19" s="313"/>
      <c r="AJ19" s="313"/>
      <c r="AK19" s="313"/>
      <c r="AL19" s="313"/>
      <c r="AM19" s="314"/>
      <c r="AN19" s="84"/>
      <c r="AO19" s="266"/>
      <c r="AP19" s="267"/>
      <c r="AQ19" s="267"/>
      <c r="AR19" s="267"/>
      <c r="AS19" s="267"/>
      <c r="AT19" s="26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52"/>
      <c r="C20" s="252"/>
      <c r="D20" s="253"/>
      <c r="E20" s="293"/>
      <c r="F20" s="294"/>
      <c r="G20" s="294"/>
      <c r="H20" s="294"/>
      <c r="I20" s="307"/>
      <c r="J20" s="321" t="str">
        <f>IF(AND('Mapa final'!$H$29="Alta",'Mapa final'!$L$29="Leve"),CONCATENATE("R",'Mapa final'!$A$29),"")</f>
        <v/>
      </c>
      <c r="K20" s="322"/>
      <c r="L20" s="322" t="str">
        <f>IF(AND('Mapa final'!$H$35="Alta",'Mapa final'!$L$35="Leve"),CONCATENATE("R",'Mapa final'!$A$35),"")</f>
        <v/>
      </c>
      <c r="M20" s="322"/>
      <c r="N20" s="322" t="str">
        <f>IF(AND('Mapa final'!$H$41="Alta",'Mapa final'!$L$41="Leve"),CONCATENATE("R",'Mapa final'!$A$41),"")</f>
        <v/>
      </c>
      <c r="O20" s="323"/>
      <c r="P20" s="321" t="str">
        <f>IF(AND('Mapa final'!$H$29="Alta",'Mapa final'!$L$29="Menor"),CONCATENATE("R",'Mapa final'!$A$29),"")</f>
        <v/>
      </c>
      <c r="Q20" s="322"/>
      <c r="R20" s="322" t="str">
        <f>IF(AND('Mapa final'!$H$35="Alta",'Mapa final'!$L$35="Menor"),CONCATENATE("R",'Mapa final'!$A$35),"")</f>
        <v/>
      </c>
      <c r="S20" s="322"/>
      <c r="T20" s="322" t="str">
        <f>IF(AND('Mapa final'!$H$41="Alta",'Mapa final'!$L$41="Menor"),CONCATENATE("R",'Mapa final'!$A$41),"")</f>
        <v/>
      </c>
      <c r="U20" s="323"/>
      <c r="V20" s="304" t="str">
        <f>IF(AND('Mapa final'!$H$29="Alta",'Mapa final'!$L$29="Moderado"),CONCATENATE("R",'Mapa final'!$A$29),"")</f>
        <v/>
      </c>
      <c r="W20" s="301"/>
      <c r="X20" s="299" t="str">
        <f>IF(AND('Mapa final'!$H$35="Alta",'Mapa final'!$L$35="Moderado"),CONCATENATE("R",'Mapa final'!$A$35),"")</f>
        <v/>
      </c>
      <c r="Y20" s="299"/>
      <c r="Z20" s="299" t="str">
        <f>IF(AND('Mapa final'!$H$41="Alta",'Mapa final'!$L$41="Moderado"),CONCATENATE("R",'Mapa final'!$A$41),"")</f>
        <v/>
      </c>
      <c r="AA20" s="300"/>
      <c r="AB20" s="304" t="str">
        <f>IF(AND('Mapa final'!$H$29="Alta",'Mapa final'!$L$29="Mayor"),CONCATENATE("R",'Mapa final'!$A$29),"")</f>
        <v/>
      </c>
      <c r="AC20" s="301"/>
      <c r="AD20" s="299" t="str">
        <f>IF(AND('Mapa final'!$H$35="Alta",'Mapa final'!$L$35="Mayor"),CONCATENATE("R",'Mapa final'!$A$35),"")</f>
        <v/>
      </c>
      <c r="AE20" s="299"/>
      <c r="AF20" s="299" t="str">
        <f>IF(AND('Mapa final'!$H$41="Alta",'Mapa final'!$L$41="Mayor"),CONCATENATE("R",'Mapa final'!$A$41),"")</f>
        <v/>
      </c>
      <c r="AG20" s="300"/>
      <c r="AH20" s="312" t="str">
        <f>IF(AND('Mapa final'!$H$29="Alta",'Mapa final'!$L$29="Catastrófico"),CONCATENATE("R",'Mapa final'!$A$29),"")</f>
        <v/>
      </c>
      <c r="AI20" s="313"/>
      <c r="AJ20" s="313" t="str">
        <f>IF(AND('Mapa final'!$H$35="Alta",'Mapa final'!$L$35="Catastrófico"),CONCATENATE("R",'Mapa final'!$A$35),"")</f>
        <v/>
      </c>
      <c r="AK20" s="313"/>
      <c r="AL20" s="313" t="str">
        <f>IF(AND('Mapa final'!$H$41="Alta",'Mapa final'!$L$41="Catastrófico"),CONCATENATE("R",'Mapa final'!$A$41),"")</f>
        <v/>
      </c>
      <c r="AM20" s="314"/>
      <c r="AN20" s="84"/>
      <c r="AO20" s="266"/>
      <c r="AP20" s="267"/>
      <c r="AQ20" s="267"/>
      <c r="AR20" s="267"/>
      <c r="AS20" s="267"/>
      <c r="AT20" s="26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52"/>
      <c r="C21" s="252"/>
      <c r="D21" s="253"/>
      <c r="E21" s="296"/>
      <c r="F21" s="297"/>
      <c r="G21" s="297"/>
      <c r="H21" s="297"/>
      <c r="I21" s="297"/>
      <c r="J21" s="324"/>
      <c r="K21" s="325"/>
      <c r="L21" s="325"/>
      <c r="M21" s="325"/>
      <c r="N21" s="325"/>
      <c r="O21" s="326"/>
      <c r="P21" s="324"/>
      <c r="Q21" s="325"/>
      <c r="R21" s="325"/>
      <c r="S21" s="325"/>
      <c r="T21" s="325"/>
      <c r="U21" s="326"/>
      <c r="V21" s="309"/>
      <c r="W21" s="310"/>
      <c r="X21" s="310"/>
      <c r="Y21" s="310"/>
      <c r="Z21" s="310"/>
      <c r="AA21" s="311"/>
      <c r="AB21" s="309"/>
      <c r="AC21" s="310"/>
      <c r="AD21" s="310"/>
      <c r="AE21" s="310"/>
      <c r="AF21" s="310"/>
      <c r="AG21" s="311"/>
      <c r="AH21" s="315"/>
      <c r="AI21" s="316"/>
      <c r="AJ21" s="316"/>
      <c r="AK21" s="316"/>
      <c r="AL21" s="316"/>
      <c r="AM21" s="317"/>
      <c r="AN21" s="84"/>
      <c r="AO21" s="269"/>
      <c r="AP21" s="270"/>
      <c r="AQ21" s="270"/>
      <c r="AR21" s="270"/>
      <c r="AS21" s="270"/>
      <c r="AT21" s="27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52"/>
      <c r="C22" s="252"/>
      <c r="D22" s="253"/>
      <c r="E22" s="290" t="s">
        <v>117</v>
      </c>
      <c r="F22" s="291"/>
      <c r="G22" s="291"/>
      <c r="H22" s="291"/>
      <c r="I22" s="292"/>
      <c r="J22" s="327" t="str">
        <f>IF(AND('Mapa final'!$H$10="Media",'Mapa final'!$L$10="Leve"),CONCATENATE("R",'Mapa final'!$A$10),"")</f>
        <v/>
      </c>
      <c r="K22" s="328"/>
      <c r="L22" s="328" t="str">
        <f>IF(AND('Mapa final'!$H$11="Media",'Mapa final'!$L$11="Leve"),CONCATENATE("R",'Mapa final'!$A$11),"")</f>
        <v/>
      </c>
      <c r="M22" s="328"/>
      <c r="N22" s="328" t="str">
        <f>IF(AND('Mapa final'!$H$12="Media",'Mapa final'!$L$12="Leve"),CONCATENATE("R",'Mapa final'!$A$12),"")</f>
        <v/>
      </c>
      <c r="O22" s="329"/>
      <c r="P22" s="327" t="str">
        <f>IF(AND('Mapa final'!$H$10="Media",'Mapa final'!$L$10="Menor"),CONCATENATE("R",'Mapa final'!$A$10),"")</f>
        <v/>
      </c>
      <c r="Q22" s="328"/>
      <c r="R22" s="328" t="str">
        <f>IF(AND('Mapa final'!$H$11="Media",'Mapa final'!$L$11="Menor"),CONCATENATE("R",'Mapa final'!$A$11),"")</f>
        <v/>
      </c>
      <c r="S22" s="328"/>
      <c r="T22" s="328" t="str">
        <f>IF(AND('Mapa final'!$H$12="Media",'Mapa final'!$L$12="Menor"),CONCATENATE("R",'Mapa final'!$A$12),"")</f>
        <v/>
      </c>
      <c r="U22" s="329"/>
      <c r="V22" s="327" t="str">
        <f>IF(AND('Mapa final'!$H$10="Media",'Mapa final'!$L$10="Moderado"),CONCATENATE("R",'Mapa final'!$A$10),"")</f>
        <v/>
      </c>
      <c r="W22" s="328"/>
      <c r="X22" s="328" t="str">
        <f>IF(AND('Mapa final'!$H$11="Media",'Mapa final'!$L$11="Moderado"),CONCATENATE("R",'Mapa final'!$A$11),"")</f>
        <v>R2</v>
      </c>
      <c r="Y22" s="328"/>
      <c r="Z22" s="328" t="str">
        <f>IF(AND('Mapa final'!$H$12="Media",'Mapa final'!$L$12="Moderado"),CONCATENATE("R",'Mapa final'!$A$12),"")</f>
        <v/>
      </c>
      <c r="AA22" s="329"/>
      <c r="AB22" s="302" t="str">
        <f>IF(AND('Mapa final'!$H$10="Media",'Mapa final'!$L$10="Mayor"),CONCATENATE("R",'Mapa final'!$A$10),"")</f>
        <v>R1</v>
      </c>
      <c r="AC22" s="303"/>
      <c r="AD22" s="303" t="str">
        <f>IF(AND('Mapa final'!$H$11="Media",'Mapa final'!$L$11="Mayor"),CONCATENATE("R",'Mapa final'!$A$11),"")</f>
        <v/>
      </c>
      <c r="AE22" s="303"/>
      <c r="AF22" s="303" t="str">
        <f>IF(AND('Mapa final'!$H$12="Media",'Mapa final'!$L$12="Mayor"),CONCATENATE("R",'Mapa final'!$A$12),"")</f>
        <v/>
      </c>
      <c r="AG22" s="305"/>
      <c r="AH22" s="318" t="str">
        <f>IF(AND('Mapa final'!$H$10="Media",'Mapa final'!$L$10="Catastrófico"),CONCATENATE("R",'Mapa final'!$A$10),"")</f>
        <v/>
      </c>
      <c r="AI22" s="319"/>
      <c r="AJ22" s="319" t="str">
        <f>IF(AND('Mapa final'!$H$11="Media",'Mapa final'!$L$11="Catastrófico"),CONCATENATE("R",'Mapa final'!$A$11),"")</f>
        <v/>
      </c>
      <c r="AK22" s="319"/>
      <c r="AL22" s="319" t="str">
        <f>IF(AND('Mapa final'!$H$12="Media",'Mapa final'!$L$12="Catastrófico"),CONCATENATE("R",'Mapa final'!$A$12),"")</f>
        <v/>
      </c>
      <c r="AM22" s="320"/>
      <c r="AN22" s="84"/>
      <c r="AO22" s="272" t="s">
        <v>81</v>
      </c>
      <c r="AP22" s="273"/>
      <c r="AQ22" s="273"/>
      <c r="AR22" s="273"/>
      <c r="AS22" s="273"/>
      <c r="AT22" s="27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52"/>
      <c r="C23" s="252"/>
      <c r="D23" s="253"/>
      <c r="E23" s="293"/>
      <c r="F23" s="294"/>
      <c r="G23" s="294"/>
      <c r="H23" s="294"/>
      <c r="I23" s="295"/>
      <c r="J23" s="321"/>
      <c r="K23" s="322"/>
      <c r="L23" s="322"/>
      <c r="M23" s="322"/>
      <c r="N23" s="322"/>
      <c r="O23" s="323"/>
      <c r="P23" s="321"/>
      <c r="Q23" s="322"/>
      <c r="R23" s="322"/>
      <c r="S23" s="322"/>
      <c r="T23" s="322"/>
      <c r="U23" s="323"/>
      <c r="V23" s="321"/>
      <c r="W23" s="322"/>
      <c r="X23" s="322"/>
      <c r="Y23" s="322"/>
      <c r="Z23" s="322"/>
      <c r="AA23" s="323"/>
      <c r="AB23" s="304"/>
      <c r="AC23" s="301"/>
      <c r="AD23" s="301"/>
      <c r="AE23" s="301"/>
      <c r="AF23" s="301"/>
      <c r="AG23" s="300"/>
      <c r="AH23" s="312"/>
      <c r="AI23" s="313"/>
      <c r="AJ23" s="313"/>
      <c r="AK23" s="313"/>
      <c r="AL23" s="313"/>
      <c r="AM23" s="314"/>
      <c r="AN23" s="84"/>
      <c r="AO23" s="275"/>
      <c r="AP23" s="276"/>
      <c r="AQ23" s="276"/>
      <c r="AR23" s="276"/>
      <c r="AS23" s="276"/>
      <c r="AT23" s="27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52"/>
      <c r="C24" s="252"/>
      <c r="D24" s="253"/>
      <c r="E24" s="293"/>
      <c r="F24" s="294"/>
      <c r="G24" s="294"/>
      <c r="H24" s="294"/>
      <c r="I24" s="295"/>
      <c r="J24" s="321" t="str">
        <f>IF(AND('Mapa final'!$H$13="Media",'Mapa final'!$L$13="Leve"),CONCATENATE("R",'Mapa final'!$A$13),"")</f>
        <v/>
      </c>
      <c r="K24" s="322"/>
      <c r="L24" s="322" t="str">
        <f>IF(AND('Mapa final'!$H$14="Media",'Mapa final'!$L$14="Leve"),CONCATENATE("R",'Mapa final'!$A$14),"")</f>
        <v/>
      </c>
      <c r="M24" s="322"/>
      <c r="N24" s="322" t="str">
        <f>IF(AND('Mapa final'!$H$15="Media",'Mapa final'!$L$15="Leve"),CONCATENATE("R",'Mapa final'!$A$15),"")</f>
        <v/>
      </c>
      <c r="O24" s="323"/>
      <c r="P24" s="321" t="str">
        <f>IF(AND('Mapa final'!$H$13="Media",'Mapa final'!$L$13="Menor"),CONCATENATE("R",'Mapa final'!$A$13),"")</f>
        <v/>
      </c>
      <c r="Q24" s="322"/>
      <c r="R24" s="322" t="str">
        <f>IF(AND('Mapa final'!$H$14="Media",'Mapa final'!$L$14="Menor"),CONCATENATE("R",'Mapa final'!$A$14),"")</f>
        <v/>
      </c>
      <c r="S24" s="322"/>
      <c r="T24" s="322" t="str">
        <f>IF(AND('Mapa final'!$H$15="Media",'Mapa final'!$L$15="Menor"),CONCATENATE("R",'Mapa final'!$A$15),"")</f>
        <v/>
      </c>
      <c r="U24" s="323"/>
      <c r="V24" s="321" t="str">
        <f>IF(AND('Mapa final'!$H$13="Media",'Mapa final'!$L$13="Moderado"),CONCATENATE("R",'Mapa final'!$A$13),"")</f>
        <v/>
      </c>
      <c r="W24" s="322"/>
      <c r="X24" s="322" t="str">
        <f>IF(AND('Mapa final'!$H$14="Media",'Mapa final'!$L$14="Moderado"),CONCATENATE("R",'Mapa final'!$A$14),"")</f>
        <v/>
      </c>
      <c r="Y24" s="322"/>
      <c r="Z24" s="322" t="str">
        <f>IF(AND('Mapa final'!$H$15="Media",'Mapa final'!$L$15="Moderado"),CONCATENATE("R",'Mapa final'!$A$15),"")</f>
        <v/>
      </c>
      <c r="AA24" s="323"/>
      <c r="AB24" s="304" t="str">
        <f>IF(AND('Mapa final'!$H$13="Media",'Mapa final'!$L$13="Mayor"),CONCATENATE("R",'Mapa final'!$A$13),"")</f>
        <v/>
      </c>
      <c r="AC24" s="301"/>
      <c r="AD24" s="299" t="str">
        <f>IF(AND('Mapa final'!$H$14="Media",'Mapa final'!$L$14="Mayor"),CONCATENATE("R",'Mapa final'!$A$14),"")</f>
        <v/>
      </c>
      <c r="AE24" s="299"/>
      <c r="AF24" s="299" t="str">
        <f>IF(AND('Mapa final'!$H$15="Media",'Mapa final'!$L$15="Mayor"),CONCATENATE("R",'Mapa final'!$A$15),"")</f>
        <v/>
      </c>
      <c r="AG24" s="300"/>
      <c r="AH24" s="312" t="str">
        <f>IF(AND('Mapa final'!$H$13="Media",'Mapa final'!$L$13="Catastrófico"),CONCATENATE("R",'Mapa final'!$A$13),"")</f>
        <v/>
      </c>
      <c r="AI24" s="313"/>
      <c r="AJ24" s="313" t="str">
        <f>IF(AND('Mapa final'!$H$14="Media",'Mapa final'!$L$14="Catastrófico"),CONCATENATE("R",'Mapa final'!$A$14),"")</f>
        <v/>
      </c>
      <c r="AK24" s="313"/>
      <c r="AL24" s="313" t="str">
        <f>IF(AND('Mapa final'!$H$15="Media",'Mapa final'!$L$15="Catastrófico"),CONCATENATE("R",'Mapa final'!$A$15),"")</f>
        <v/>
      </c>
      <c r="AM24" s="314"/>
      <c r="AN24" s="84"/>
      <c r="AO24" s="275"/>
      <c r="AP24" s="276"/>
      <c r="AQ24" s="276"/>
      <c r="AR24" s="276"/>
      <c r="AS24" s="276"/>
      <c r="AT24" s="27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52"/>
      <c r="C25" s="252"/>
      <c r="D25" s="253"/>
      <c r="E25" s="293"/>
      <c r="F25" s="294"/>
      <c r="G25" s="294"/>
      <c r="H25" s="294"/>
      <c r="I25" s="295"/>
      <c r="J25" s="321"/>
      <c r="K25" s="322"/>
      <c r="L25" s="322"/>
      <c r="M25" s="322"/>
      <c r="N25" s="322"/>
      <c r="O25" s="323"/>
      <c r="P25" s="321"/>
      <c r="Q25" s="322"/>
      <c r="R25" s="322"/>
      <c r="S25" s="322"/>
      <c r="T25" s="322"/>
      <c r="U25" s="323"/>
      <c r="V25" s="321"/>
      <c r="W25" s="322"/>
      <c r="X25" s="322"/>
      <c r="Y25" s="322"/>
      <c r="Z25" s="322"/>
      <c r="AA25" s="323"/>
      <c r="AB25" s="304"/>
      <c r="AC25" s="301"/>
      <c r="AD25" s="299"/>
      <c r="AE25" s="299"/>
      <c r="AF25" s="299"/>
      <c r="AG25" s="300"/>
      <c r="AH25" s="312"/>
      <c r="AI25" s="313"/>
      <c r="AJ25" s="313"/>
      <c r="AK25" s="313"/>
      <c r="AL25" s="313"/>
      <c r="AM25" s="314"/>
      <c r="AN25" s="84"/>
      <c r="AO25" s="275"/>
      <c r="AP25" s="276"/>
      <c r="AQ25" s="276"/>
      <c r="AR25" s="276"/>
      <c r="AS25" s="276"/>
      <c r="AT25" s="27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52"/>
      <c r="C26" s="252"/>
      <c r="D26" s="253"/>
      <c r="E26" s="293"/>
      <c r="F26" s="294"/>
      <c r="G26" s="294"/>
      <c r="H26" s="294"/>
      <c r="I26" s="295"/>
      <c r="J26" s="321" t="str">
        <f>IF(AND('Mapa final'!$H$16="Media",'Mapa final'!$L$16="Leve"),CONCATENATE("R",'Mapa final'!$A$16),"")</f>
        <v/>
      </c>
      <c r="K26" s="322"/>
      <c r="L26" s="322" t="str">
        <f>IF(AND('Mapa final'!$H$17="Media",'Mapa final'!$L$17="Leve"),CONCATENATE("R",'Mapa final'!$A$17),"")</f>
        <v/>
      </c>
      <c r="M26" s="322"/>
      <c r="N26" s="322" t="str">
        <f>IF(AND('Mapa final'!$H$23="Media",'Mapa final'!$L$23="Leve"),CONCATENATE("R",'Mapa final'!$A$23),"")</f>
        <v/>
      </c>
      <c r="O26" s="323"/>
      <c r="P26" s="321" t="str">
        <f>IF(AND('Mapa final'!$H$16="Media",'Mapa final'!$L$16="Menor"),CONCATENATE("R",'Mapa final'!$A$16),"")</f>
        <v/>
      </c>
      <c r="Q26" s="322"/>
      <c r="R26" s="322" t="str">
        <f>IF(AND('Mapa final'!$H$17="Media",'Mapa final'!$L$17="Menor"),CONCATENATE("R",'Mapa final'!$A$17),"")</f>
        <v/>
      </c>
      <c r="S26" s="322"/>
      <c r="T26" s="322" t="str">
        <f>IF(AND('Mapa final'!$H$23="Media",'Mapa final'!$L$23="Menor"),CONCATENATE("R",'Mapa final'!$A$23),"")</f>
        <v/>
      </c>
      <c r="U26" s="323"/>
      <c r="V26" s="321" t="str">
        <f>IF(AND('Mapa final'!$H$16="Media",'Mapa final'!$L$16="Moderado"),CONCATENATE("R",'Mapa final'!$A$16),"")</f>
        <v>R7</v>
      </c>
      <c r="W26" s="322"/>
      <c r="X26" s="322" t="str">
        <f>IF(AND('Mapa final'!$H$17="Media",'Mapa final'!$L$17="Moderado"),CONCATENATE("R",'Mapa final'!$A$17),"")</f>
        <v/>
      </c>
      <c r="Y26" s="322"/>
      <c r="Z26" s="322" t="str">
        <f>IF(AND('Mapa final'!$H$23="Media",'Mapa final'!$L$23="Moderado"),CONCATENATE("R",'Mapa final'!$A$23),"")</f>
        <v/>
      </c>
      <c r="AA26" s="323"/>
      <c r="AB26" s="304" t="str">
        <f>IF(AND('Mapa final'!$H$16="Media",'Mapa final'!$L$16="Mayor"),CONCATENATE("R",'Mapa final'!$A$16),"")</f>
        <v/>
      </c>
      <c r="AC26" s="301"/>
      <c r="AD26" s="299" t="str">
        <f>IF(AND('Mapa final'!$H$17="Media",'Mapa final'!$L$17="Mayor"),CONCATENATE("R",'Mapa final'!$A$17),"")</f>
        <v/>
      </c>
      <c r="AE26" s="299"/>
      <c r="AF26" s="299" t="str">
        <f>IF(AND('Mapa final'!$H$23="Media",'Mapa final'!$L$23="Mayor"),CONCATENATE("R",'Mapa final'!$A$23),"")</f>
        <v/>
      </c>
      <c r="AG26" s="300"/>
      <c r="AH26" s="312" t="str">
        <f>IF(AND('Mapa final'!$H$16="Media",'Mapa final'!$L$16="Catastrófico"),CONCATENATE("R",'Mapa final'!$A$16),"")</f>
        <v/>
      </c>
      <c r="AI26" s="313"/>
      <c r="AJ26" s="313" t="str">
        <f>IF(AND('Mapa final'!$H$17="Media",'Mapa final'!$L$17="Catastrófico"),CONCATENATE("R",'Mapa final'!$A$17),"")</f>
        <v/>
      </c>
      <c r="AK26" s="313"/>
      <c r="AL26" s="313" t="str">
        <f>IF(AND('Mapa final'!$H$23="Media",'Mapa final'!$L$23="Catastrófico"),CONCATENATE("R",'Mapa final'!$A$23),"")</f>
        <v/>
      </c>
      <c r="AM26" s="314"/>
      <c r="AN26" s="84"/>
      <c r="AO26" s="275"/>
      <c r="AP26" s="276"/>
      <c r="AQ26" s="276"/>
      <c r="AR26" s="276"/>
      <c r="AS26" s="276"/>
      <c r="AT26" s="27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52"/>
      <c r="C27" s="252"/>
      <c r="D27" s="253"/>
      <c r="E27" s="293"/>
      <c r="F27" s="294"/>
      <c r="G27" s="294"/>
      <c r="H27" s="294"/>
      <c r="I27" s="295"/>
      <c r="J27" s="321"/>
      <c r="K27" s="322"/>
      <c r="L27" s="322"/>
      <c r="M27" s="322"/>
      <c r="N27" s="322"/>
      <c r="O27" s="323"/>
      <c r="P27" s="321"/>
      <c r="Q27" s="322"/>
      <c r="R27" s="322"/>
      <c r="S27" s="322"/>
      <c r="T27" s="322"/>
      <c r="U27" s="323"/>
      <c r="V27" s="321"/>
      <c r="W27" s="322"/>
      <c r="X27" s="322"/>
      <c r="Y27" s="322"/>
      <c r="Z27" s="322"/>
      <c r="AA27" s="323"/>
      <c r="AB27" s="304"/>
      <c r="AC27" s="301"/>
      <c r="AD27" s="299"/>
      <c r="AE27" s="299"/>
      <c r="AF27" s="299"/>
      <c r="AG27" s="300"/>
      <c r="AH27" s="312"/>
      <c r="AI27" s="313"/>
      <c r="AJ27" s="313"/>
      <c r="AK27" s="313"/>
      <c r="AL27" s="313"/>
      <c r="AM27" s="314"/>
      <c r="AN27" s="84"/>
      <c r="AO27" s="275"/>
      <c r="AP27" s="276"/>
      <c r="AQ27" s="276"/>
      <c r="AR27" s="276"/>
      <c r="AS27" s="276"/>
      <c r="AT27" s="27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52"/>
      <c r="C28" s="252"/>
      <c r="D28" s="253"/>
      <c r="E28" s="293"/>
      <c r="F28" s="294"/>
      <c r="G28" s="294"/>
      <c r="H28" s="294"/>
      <c r="I28" s="295"/>
      <c r="J28" s="321" t="str">
        <f>IF(AND('Mapa final'!$H$29="Media",'Mapa final'!$L$29="Leve"),CONCATENATE("R",'Mapa final'!$A$29),"")</f>
        <v/>
      </c>
      <c r="K28" s="322"/>
      <c r="L28" s="322" t="str">
        <f>IF(AND('Mapa final'!$H$35="Media",'Mapa final'!$L$35="Leve"),CONCATENATE("R",'Mapa final'!$A$35),"")</f>
        <v/>
      </c>
      <c r="M28" s="322"/>
      <c r="N28" s="322" t="str">
        <f>IF(AND('Mapa final'!$H$41="Media",'Mapa final'!$L$41="Leve"),CONCATENATE("R",'Mapa final'!$A$41),"")</f>
        <v/>
      </c>
      <c r="O28" s="323"/>
      <c r="P28" s="321" t="str">
        <f>IF(AND('Mapa final'!$H$29="Media",'Mapa final'!$L$29="Menor"),CONCATENATE("R",'Mapa final'!$A$29),"")</f>
        <v/>
      </c>
      <c r="Q28" s="322"/>
      <c r="R28" s="322" t="str">
        <f>IF(AND('Mapa final'!$H$35="Media",'Mapa final'!$L$35="Menor"),CONCATENATE("R",'Mapa final'!$A$35),"")</f>
        <v/>
      </c>
      <c r="S28" s="322"/>
      <c r="T28" s="322" t="str">
        <f>IF(AND('Mapa final'!$H$41="Media",'Mapa final'!$L$41="Menor"),CONCATENATE("R",'Mapa final'!$A$41),"")</f>
        <v/>
      </c>
      <c r="U28" s="323"/>
      <c r="V28" s="321" t="str">
        <f>IF(AND('Mapa final'!$H$29="Media",'Mapa final'!$L$29="Moderado"),CONCATENATE("R",'Mapa final'!$A$29),"")</f>
        <v/>
      </c>
      <c r="W28" s="322"/>
      <c r="X28" s="322" t="str">
        <f>IF(AND('Mapa final'!$H$35="Media",'Mapa final'!$L$35="Moderado"),CONCATENATE("R",'Mapa final'!$A$35),"")</f>
        <v/>
      </c>
      <c r="Y28" s="322"/>
      <c r="Z28" s="322" t="str">
        <f>IF(AND('Mapa final'!$H$41="Media",'Mapa final'!$L$41="Moderado"),CONCATENATE("R",'Mapa final'!$A$41),"")</f>
        <v/>
      </c>
      <c r="AA28" s="323"/>
      <c r="AB28" s="304" t="str">
        <f>IF(AND('Mapa final'!$H$29="Media",'Mapa final'!$L$29="Mayor"),CONCATENATE("R",'Mapa final'!$A$29),"")</f>
        <v/>
      </c>
      <c r="AC28" s="301"/>
      <c r="AD28" s="299" t="str">
        <f>IF(AND('Mapa final'!$H$35="Media",'Mapa final'!$L$35="Mayor"),CONCATENATE("R",'Mapa final'!$A$35),"")</f>
        <v/>
      </c>
      <c r="AE28" s="299"/>
      <c r="AF28" s="299" t="str">
        <f>IF(AND('Mapa final'!$H$41="Media",'Mapa final'!$L$41="Mayor"),CONCATENATE("R",'Mapa final'!$A$41),"")</f>
        <v/>
      </c>
      <c r="AG28" s="300"/>
      <c r="AH28" s="312" t="str">
        <f>IF(AND('Mapa final'!$H$29="Media",'Mapa final'!$L$29="Catastrófico"),CONCATENATE("R",'Mapa final'!$A$29),"")</f>
        <v/>
      </c>
      <c r="AI28" s="313"/>
      <c r="AJ28" s="313" t="str">
        <f>IF(AND('Mapa final'!$H$35="Media",'Mapa final'!$L$35="Catastrófico"),CONCATENATE("R",'Mapa final'!$A$35),"")</f>
        <v/>
      </c>
      <c r="AK28" s="313"/>
      <c r="AL28" s="313" t="str">
        <f>IF(AND('Mapa final'!$H$41="Media",'Mapa final'!$L$41="Catastrófico"),CONCATENATE("R",'Mapa final'!$A$41),"")</f>
        <v/>
      </c>
      <c r="AM28" s="314"/>
      <c r="AN28" s="84"/>
      <c r="AO28" s="275"/>
      <c r="AP28" s="276"/>
      <c r="AQ28" s="276"/>
      <c r="AR28" s="276"/>
      <c r="AS28" s="276"/>
      <c r="AT28" s="27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52"/>
      <c r="C29" s="252"/>
      <c r="D29" s="253"/>
      <c r="E29" s="296"/>
      <c r="F29" s="297"/>
      <c r="G29" s="297"/>
      <c r="H29" s="297"/>
      <c r="I29" s="298"/>
      <c r="J29" s="321"/>
      <c r="K29" s="322"/>
      <c r="L29" s="322"/>
      <c r="M29" s="322"/>
      <c r="N29" s="322"/>
      <c r="O29" s="323"/>
      <c r="P29" s="324"/>
      <c r="Q29" s="325"/>
      <c r="R29" s="325"/>
      <c r="S29" s="325"/>
      <c r="T29" s="325"/>
      <c r="U29" s="326"/>
      <c r="V29" s="324"/>
      <c r="W29" s="325"/>
      <c r="X29" s="325"/>
      <c r="Y29" s="325"/>
      <c r="Z29" s="325"/>
      <c r="AA29" s="326"/>
      <c r="AB29" s="309"/>
      <c r="AC29" s="310"/>
      <c r="AD29" s="310"/>
      <c r="AE29" s="310"/>
      <c r="AF29" s="310"/>
      <c r="AG29" s="311"/>
      <c r="AH29" s="315"/>
      <c r="AI29" s="316"/>
      <c r="AJ29" s="316"/>
      <c r="AK29" s="316"/>
      <c r="AL29" s="316"/>
      <c r="AM29" s="317"/>
      <c r="AN29" s="84"/>
      <c r="AO29" s="278"/>
      <c r="AP29" s="279"/>
      <c r="AQ29" s="279"/>
      <c r="AR29" s="279"/>
      <c r="AS29" s="279"/>
      <c r="AT29" s="28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52"/>
      <c r="C30" s="252"/>
      <c r="D30" s="253"/>
      <c r="E30" s="290" t="s">
        <v>114</v>
      </c>
      <c r="F30" s="291"/>
      <c r="G30" s="291"/>
      <c r="H30" s="291"/>
      <c r="I30" s="291"/>
      <c r="J30" s="336" t="str">
        <f>IF(AND('Mapa final'!$H$10="Baja",'Mapa final'!$L$10="Leve"),CONCATENATE("R",'Mapa final'!$A$10),"")</f>
        <v/>
      </c>
      <c r="K30" s="337"/>
      <c r="L30" s="337" t="str">
        <f>IF(AND('Mapa final'!$H$11="Baja",'Mapa final'!$L$11="Leve"),CONCATENATE("R",'Mapa final'!$A$11),"")</f>
        <v/>
      </c>
      <c r="M30" s="337"/>
      <c r="N30" s="337" t="str">
        <f>IF(AND('Mapa final'!$H$12="Baja",'Mapa final'!$L$12="Leve"),CONCATENATE("R",'Mapa final'!$A$12),"")</f>
        <v/>
      </c>
      <c r="O30" s="338"/>
      <c r="P30" s="328" t="str">
        <f>IF(AND('Mapa final'!$H$10="Baja",'Mapa final'!$L$10="Menor"),CONCATENATE("R",'Mapa final'!$A$10),"")</f>
        <v/>
      </c>
      <c r="Q30" s="328"/>
      <c r="R30" s="328" t="str">
        <f>IF(AND('Mapa final'!$H$11="Baja",'Mapa final'!$L$11="Menor"),CONCATENATE("R",'Mapa final'!$A$11),"")</f>
        <v/>
      </c>
      <c r="S30" s="328"/>
      <c r="T30" s="328" t="str">
        <f>IF(AND('Mapa final'!$H$12="Baja",'Mapa final'!$L$12="Menor"),CONCATENATE("R",'Mapa final'!$A$12),"")</f>
        <v/>
      </c>
      <c r="U30" s="329"/>
      <c r="V30" s="327" t="str">
        <f>IF(AND('Mapa final'!$H$10="Baja",'Mapa final'!$L$10="Moderado"),CONCATENATE("R",'Mapa final'!$A$10),"")</f>
        <v/>
      </c>
      <c r="W30" s="328"/>
      <c r="X30" s="328" t="str">
        <f>IF(AND('Mapa final'!$H$11="Baja",'Mapa final'!$L$11="Moderado"),CONCATENATE("R",'Mapa final'!$A$11),"")</f>
        <v/>
      </c>
      <c r="Y30" s="328"/>
      <c r="Z30" s="328" t="str">
        <f>IF(AND('Mapa final'!$H$12="Baja",'Mapa final'!$L$12="Moderado"),CONCATENATE("R",'Mapa final'!$A$12),"")</f>
        <v/>
      </c>
      <c r="AA30" s="329"/>
      <c r="AB30" s="302" t="str">
        <f>IF(AND('Mapa final'!$H$10="Baja",'Mapa final'!$L$10="Mayor"),CONCATENATE("R",'Mapa final'!$A$10),"")</f>
        <v/>
      </c>
      <c r="AC30" s="303"/>
      <c r="AD30" s="303" t="str">
        <f>IF(AND('Mapa final'!$H$11="Baja",'Mapa final'!$L$11="Mayor"),CONCATENATE("R",'Mapa final'!$A$11),"")</f>
        <v/>
      </c>
      <c r="AE30" s="303"/>
      <c r="AF30" s="303" t="str">
        <f>IF(AND('Mapa final'!$H$12="Baja",'Mapa final'!$L$12="Mayor"),CONCATENATE("R",'Mapa final'!$A$12),"")</f>
        <v/>
      </c>
      <c r="AG30" s="305"/>
      <c r="AH30" s="318" t="str">
        <f>IF(AND('Mapa final'!$H$10="Baja",'Mapa final'!$L$10="Catastrófico"),CONCATENATE("R",'Mapa final'!$A$10),"")</f>
        <v/>
      </c>
      <c r="AI30" s="319"/>
      <c r="AJ30" s="319" t="str">
        <f>IF(AND('Mapa final'!$H$11="Baja",'Mapa final'!$L$11="Catastrófico"),CONCATENATE("R",'Mapa final'!$A$11),"")</f>
        <v/>
      </c>
      <c r="AK30" s="319"/>
      <c r="AL30" s="319" t="str">
        <f>IF(AND('Mapa final'!$H$12="Baja",'Mapa final'!$L$12="Catastrófico"),CONCATENATE("R",'Mapa final'!$A$12),"")</f>
        <v/>
      </c>
      <c r="AM30" s="320"/>
      <c r="AN30" s="84"/>
      <c r="AO30" s="281" t="s">
        <v>82</v>
      </c>
      <c r="AP30" s="282"/>
      <c r="AQ30" s="282"/>
      <c r="AR30" s="282"/>
      <c r="AS30" s="282"/>
      <c r="AT30" s="28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52"/>
      <c r="C31" s="252"/>
      <c r="D31" s="253"/>
      <c r="E31" s="293"/>
      <c r="F31" s="294"/>
      <c r="G31" s="294"/>
      <c r="H31" s="294"/>
      <c r="I31" s="307"/>
      <c r="J31" s="332"/>
      <c r="K31" s="330"/>
      <c r="L31" s="330"/>
      <c r="M31" s="330"/>
      <c r="N31" s="330"/>
      <c r="O31" s="331"/>
      <c r="P31" s="322"/>
      <c r="Q31" s="322"/>
      <c r="R31" s="322"/>
      <c r="S31" s="322"/>
      <c r="T31" s="322"/>
      <c r="U31" s="323"/>
      <c r="V31" s="321"/>
      <c r="W31" s="322"/>
      <c r="X31" s="322"/>
      <c r="Y31" s="322"/>
      <c r="Z31" s="322"/>
      <c r="AA31" s="323"/>
      <c r="AB31" s="304"/>
      <c r="AC31" s="301"/>
      <c r="AD31" s="301"/>
      <c r="AE31" s="301"/>
      <c r="AF31" s="301"/>
      <c r="AG31" s="300"/>
      <c r="AH31" s="312"/>
      <c r="AI31" s="313"/>
      <c r="AJ31" s="313"/>
      <c r="AK31" s="313"/>
      <c r="AL31" s="313"/>
      <c r="AM31" s="314"/>
      <c r="AN31" s="84"/>
      <c r="AO31" s="284"/>
      <c r="AP31" s="285"/>
      <c r="AQ31" s="285"/>
      <c r="AR31" s="285"/>
      <c r="AS31" s="285"/>
      <c r="AT31" s="28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52"/>
      <c r="C32" s="252"/>
      <c r="D32" s="253"/>
      <c r="E32" s="293"/>
      <c r="F32" s="294"/>
      <c r="G32" s="294"/>
      <c r="H32" s="294"/>
      <c r="I32" s="307"/>
      <c r="J32" s="332" t="str">
        <f>IF(AND('Mapa final'!$H$13="Baja",'Mapa final'!$L$13="Leve"),CONCATENATE("R",'Mapa final'!$A$13),"")</f>
        <v/>
      </c>
      <c r="K32" s="330"/>
      <c r="L32" s="330" t="str">
        <f>IF(AND('Mapa final'!$H$14="Baja",'Mapa final'!$L$14="Leve"),CONCATENATE("R",'Mapa final'!$A$14),"")</f>
        <v/>
      </c>
      <c r="M32" s="330"/>
      <c r="N32" s="330" t="str">
        <f>IF(AND('Mapa final'!$H$15="Baja",'Mapa final'!$L$15="Leve"),CONCATENATE("R",'Mapa final'!$A$15),"")</f>
        <v/>
      </c>
      <c r="O32" s="331"/>
      <c r="P32" s="322" t="str">
        <f>IF(AND('Mapa final'!$H$13="Baja",'Mapa final'!$L$13="Menor"),CONCATENATE("R",'Mapa final'!$A$13),"")</f>
        <v/>
      </c>
      <c r="Q32" s="322"/>
      <c r="R32" s="322" t="str">
        <f>IF(AND('Mapa final'!$H$14="Baja",'Mapa final'!$L$14="Menor"),CONCATENATE("R",'Mapa final'!$A$14),"")</f>
        <v/>
      </c>
      <c r="S32" s="322"/>
      <c r="T32" s="322" t="str">
        <f>IF(AND('Mapa final'!$H$15="Baja",'Mapa final'!$L$15="Menor"),CONCATENATE("R",'Mapa final'!$A$15),"")</f>
        <v>R6</v>
      </c>
      <c r="U32" s="323"/>
      <c r="V32" s="321" t="str">
        <f>IF(AND('Mapa final'!$H$13="Baja",'Mapa final'!$L$13="Moderado"),CONCATENATE("R",'Mapa final'!$A$13),"")</f>
        <v/>
      </c>
      <c r="W32" s="322"/>
      <c r="X32" s="322" t="str">
        <f>IF(AND('Mapa final'!$H$14="Baja",'Mapa final'!$L$14="Moderado"),CONCATENATE("R",'Mapa final'!$A$14),"")</f>
        <v/>
      </c>
      <c r="Y32" s="322"/>
      <c r="Z32" s="322" t="str">
        <f>IF(AND('Mapa final'!$H$15="Baja",'Mapa final'!$L$15="Moderado"),CONCATENATE("R",'Mapa final'!$A$15),"")</f>
        <v/>
      </c>
      <c r="AA32" s="323"/>
      <c r="AB32" s="304" t="str">
        <f>IF(AND('Mapa final'!$H$13="Baja",'Mapa final'!$L$13="Mayor"),CONCATENATE("R",'Mapa final'!$A$13),"")</f>
        <v/>
      </c>
      <c r="AC32" s="301"/>
      <c r="AD32" s="299" t="str">
        <f>IF(AND('Mapa final'!$H$14="Baja",'Mapa final'!$L$14="Mayor"),CONCATENATE("R",'Mapa final'!$A$14),"")</f>
        <v/>
      </c>
      <c r="AE32" s="299"/>
      <c r="AF32" s="299" t="str">
        <f>IF(AND('Mapa final'!$H$15="Baja",'Mapa final'!$L$15="Mayor"),CONCATENATE("R",'Mapa final'!$A$15),"")</f>
        <v/>
      </c>
      <c r="AG32" s="300"/>
      <c r="AH32" s="312" t="str">
        <f>IF(AND('Mapa final'!$H$13="Baja",'Mapa final'!$L$13="Catastrófico"),CONCATENATE("R",'Mapa final'!$A$13),"")</f>
        <v/>
      </c>
      <c r="AI32" s="313"/>
      <c r="AJ32" s="313" t="str">
        <f>IF(AND('Mapa final'!$H$14="Baja",'Mapa final'!$L$14="Catastrófico"),CONCATENATE("R",'Mapa final'!$A$14),"")</f>
        <v/>
      </c>
      <c r="AK32" s="313"/>
      <c r="AL32" s="313" t="str">
        <f>IF(AND('Mapa final'!$H$15="Baja",'Mapa final'!$L$15="Catastrófico"),CONCATENATE("R",'Mapa final'!$A$15),"")</f>
        <v/>
      </c>
      <c r="AM32" s="314"/>
      <c r="AN32" s="84"/>
      <c r="AO32" s="284"/>
      <c r="AP32" s="285"/>
      <c r="AQ32" s="285"/>
      <c r="AR32" s="285"/>
      <c r="AS32" s="285"/>
      <c r="AT32" s="28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52"/>
      <c r="C33" s="252"/>
      <c r="D33" s="253"/>
      <c r="E33" s="293"/>
      <c r="F33" s="294"/>
      <c r="G33" s="294"/>
      <c r="H33" s="294"/>
      <c r="I33" s="307"/>
      <c r="J33" s="332"/>
      <c r="K33" s="330"/>
      <c r="L33" s="330"/>
      <c r="M33" s="330"/>
      <c r="N33" s="330"/>
      <c r="O33" s="331"/>
      <c r="P33" s="322"/>
      <c r="Q33" s="322"/>
      <c r="R33" s="322"/>
      <c r="S33" s="322"/>
      <c r="T33" s="322"/>
      <c r="U33" s="323"/>
      <c r="V33" s="321"/>
      <c r="W33" s="322"/>
      <c r="X33" s="322"/>
      <c r="Y33" s="322"/>
      <c r="Z33" s="322"/>
      <c r="AA33" s="323"/>
      <c r="AB33" s="304"/>
      <c r="AC33" s="301"/>
      <c r="AD33" s="299"/>
      <c r="AE33" s="299"/>
      <c r="AF33" s="299"/>
      <c r="AG33" s="300"/>
      <c r="AH33" s="312"/>
      <c r="AI33" s="313"/>
      <c r="AJ33" s="313"/>
      <c r="AK33" s="313"/>
      <c r="AL33" s="313"/>
      <c r="AM33" s="314"/>
      <c r="AN33" s="84"/>
      <c r="AO33" s="284"/>
      <c r="AP33" s="285"/>
      <c r="AQ33" s="285"/>
      <c r="AR33" s="285"/>
      <c r="AS33" s="285"/>
      <c r="AT33" s="28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52"/>
      <c r="C34" s="252"/>
      <c r="D34" s="253"/>
      <c r="E34" s="293"/>
      <c r="F34" s="294"/>
      <c r="G34" s="294"/>
      <c r="H34" s="294"/>
      <c r="I34" s="307"/>
      <c r="J34" s="332" t="str">
        <f>IF(AND('Mapa final'!$H$16="Baja",'Mapa final'!$L$16="Leve"),CONCATENATE("R",'Mapa final'!$A$16),"")</f>
        <v/>
      </c>
      <c r="K34" s="330"/>
      <c r="L34" s="330" t="str">
        <f>IF(AND('Mapa final'!$H$17="Baja",'Mapa final'!$L$17="Leve"),CONCATENATE("R",'Mapa final'!$A$17),"")</f>
        <v/>
      </c>
      <c r="M34" s="330"/>
      <c r="N34" s="330" t="str">
        <f>IF(AND('Mapa final'!$H$23="Baja",'Mapa final'!$L$23="Leve"),CONCATENATE("R",'Mapa final'!$A$23),"")</f>
        <v/>
      </c>
      <c r="O34" s="331"/>
      <c r="P34" s="322" t="str">
        <f>IF(AND('Mapa final'!$H$16="Baja",'Mapa final'!$L$16="Menor"),CONCATENATE("R",'Mapa final'!$A$16),"")</f>
        <v/>
      </c>
      <c r="Q34" s="322"/>
      <c r="R34" s="322" t="str">
        <f>IF(AND('Mapa final'!$H$17="Baja",'Mapa final'!$L$17="Menor"),CONCATENATE("R",'Mapa final'!$A$17),"")</f>
        <v/>
      </c>
      <c r="S34" s="322"/>
      <c r="T34" s="322" t="str">
        <f>IF(AND('Mapa final'!$H$23="Baja",'Mapa final'!$L$23="Menor"),CONCATENATE("R",'Mapa final'!$A$23),"")</f>
        <v/>
      </c>
      <c r="U34" s="323"/>
      <c r="V34" s="321" t="str">
        <f>IF(AND('Mapa final'!$H$16="Baja",'Mapa final'!$L$16="Moderado"),CONCATENATE("R",'Mapa final'!$A$16),"")</f>
        <v/>
      </c>
      <c r="W34" s="322"/>
      <c r="X34" s="322" t="str">
        <f>IF(AND('Mapa final'!$H$17="Baja",'Mapa final'!$L$17="Moderado"),CONCATENATE("R",'Mapa final'!$A$17),"")</f>
        <v/>
      </c>
      <c r="Y34" s="322"/>
      <c r="Z34" s="322" t="str">
        <f>IF(AND('Mapa final'!$H$23="Baja",'Mapa final'!$L$23="Moderado"),CONCATENATE("R",'Mapa final'!$A$23),"")</f>
        <v/>
      </c>
      <c r="AA34" s="323"/>
      <c r="AB34" s="304" t="str">
        <f>IF(AND('Mapa final'!$H$16="Baja",'Mapa final'!$L$16="Mayor"),CONCATENATE("R",'Mapa final'!$A$16),"")</f>
        <v/>
      </c>
      <c r="AC34" s="301"/>
      <c r="AD34" s="299" t="str">
        <f>IF(AND('Mapa final'!$H$17="Baja",'Mapa final'!$L$17="Mayor"),CONCATENATE("R",'Mapa final'!$A$17),"")</f>
        <v/>
      </c>
      <c r="AE34" s="299"/>
      <c r="AF34" s="299" t="str">
        <f>IF(AND('Mapa final'!$H$23="Baja",'Mapa final'!$L$23="Mayor"),CONCATENATE("R",'Mapa final'!$A$23),"")</f>
        <v/>
      </c>
      <c r="AG34" s="300"/>
      <c r="AH34" s="312" t="str">
        <f>IF(AND('Mapa final'!$H$16="Baja",'Mapa final'!$L$16="Catastrófico"),CONCATENATE("R",'Mapa final'!$A$16),"")</f>
        <v/>
      </c>
      <c r="AI34" s="313"/>
      <c r="AJ34" s="313" t="str">
        <f>IF(AND('Mapa final'!$H$17="Baja",'Mapa final'!$L$17="Catastrófico"),CONCATENATE("R",'Mapa final'!$A$17),"")</f>
        <v/>
      </c>
      <c r="AK34" s="313"/>
      <c r="AL34" s="313" t="str">
        <f>IF(AND('Mapa final'!$H$23="Baja",'Mapa final'!$L$23="Catastrófico"),CONCATENATE("R",'Mapa final'!$A$23),"")</f>
        <v/>
      </c>
      <c r="AM34" s="314"/>
      <c r="AN34" s="84"/>
      <c r="AO34" s="284"/>
      <c r="AP34" s="285"/>
      <c r="AQ34" s="285"/>
      <c r="AR34" s="285"/>
      <c r="AS34" s="285"/>
      <c r="AT34" s="28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52"/>
      <c r="C35" s="252"/>
      <c r="D35" s="253"/>
      <c r="E35" s="293"/>
      <c r="F35" s="294"/>
      <c r="G35" s="294"/>
      <c r="H35" s="294"/>
      <c r="I35" s="307"/>
      <c r="J35" s="332"/>
      <c r="K35" s="330"/>
      <c r="L35" s="330"/>
      <c r="M35" s="330"/>
      <c r="N35" s="330"/>
      <c r="O35" s="331"/>
      <c r="P35" s="322"/>
      <c r="Q35" s="322"/>
      <c r="R35" s="322"/>
      <c r="S35" s="322"/>
      <c r="T35" s="322"/>
      <c r="U35" s="323"/>
      <c r="V35" s="321"/>
      <c r="W35" s="322"/>
      <c r="X35" s="322"/>
      <c r="Y35" s="322"/>
      <c r="Z35" s="322"/>
      <c r="AA35" s="323"/>
      <c r="AB35" s="304"/>
      <c r="AC35" s="301"/>
      <c r="AD35" s="299"/>
      <c r="AE35" s="299"/>
      <c r="AF35" s="299"/>
      <c r="AG35" s="300"/>
      <c r="AH35" s="312"/>
      <c r="AI35" s="313"/>
      <c r="AJ35" s="313"/>
      <c r="AK35" s="313"/>
      <c r="AL35" s="313"/>
      <c r="AM35" s="314"/>
      <c r="AN35" s="84"/>
      <c r="AO35" s="284"/>
      <c r="AP35" s="285"/>
      <c r="AQ35" s="285"/>
      <c r="AR35" s="285"/>
      <c r="AS35" s="285"/>
      <c r="AT35" s="28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52"/>
      <c r="C36" s="252"/>
      <c r="D36" s="253"/>
      <c r="E36" s="293"/>
      <c r="F36" s="294"/>
      <c r="G36" s="294"/>
      <c r="H36" s="294"/>
      <c r="I36" s="307"/>
      <c r="J36" s="332" t="str">
        <f>IF(AND('Mapa final'!$H$29="Baja",'Mapa final'!$L$29="Leve"),CONCATENATE("R",'Mapa final'!$A$29),"")</f>
        <v/>
      </c>
      <c r="K36" s="330"/>
      <c r="L36" s="330" t="str">
        <f>IF(AND('Mapa final'!$H$35="Baja",'Mapa final'!$L$35="Leve"),CONCATENATE("R",'Mapa final'!$A$35),"")</f>
        <v/>
      </c>
      <c r="M36" s="330"/>
      <c r="N36" s="330" t="str">
        <f>IF(AND('Mapa final'!$H$41="Baja",'Mapa final'!$L$41="Leve"),CONCATENATE("R",'Mapa final'!$A$41),"")</f>
        <v/>
      </c>
      <c r="O36" s="331"/>
      <c r="P36" s="322" t="str">
        <f>IF(AND('Mapa final'!$H$29="Baja",'Mapa final'!$L$29="Menor"),CONCATENATE("R",'Mapa final'!$A$29),"")</f>
        <v/>
      </c>
      <c r="Q36" s="322"/>
      <c r="R36" s="322" t="str">
        <f>IF(AND('Mapa final'!$H$35="Baja",'Mapa final'!$L$35="Menor"),CONCATENATE("R",'Mapa final'!$A$35),"")</f>
        <v/>
      </c>
      <c r="S36" s="322"/>
      <c r="T36" s="322" t="str">
        <f>IF(AND('Mapa final'!$H$41="Baja",'Mapa final'!$L$41="Menor"),CONCATENATE("R",'Mapa final'!$A$41),"")</f>
        <v/>
      </c>
      <c r="U36" s="323"/>
      <c r="V36" s="321" t="str">
        <f>IF(AND('Mapa final'!$H$29="Baja",'Mapa final'!$L$29="Moderado"),CONCATENATE("R",'Mapa final'!$A$29),"")</f>
        <v/>
      </c>
      <c r="W36" s="322"/>
      <c r="X36" s="322" t="str">
        <f>IF(AND('Mapa final'!$H$35="Baja",'Mapa final'!$L$35="Moderado"),CONCATENATE("R",'Mapa final'!$A$35),"")</f>
        <v/>
      </c>
      <c r="Y36" s="322"/>
      <c r="Z36" s="322" t="str">
        <f>IF(AND('Mapa final'!$H$41="Baja",'Mapa final'!$L$41="Moderado"),CONCATENATE("R",'Mapa final'!$A$41),"")</f>
        <v/>
      </c>
      <c r="AA36" s="323"/>
      <c r="AB36" s="304" t="str">
        <f>IF(AND('Mapa final'!$H$29="Baja",'Mapa final'!$L$29="Mayor"),CONCATENATE("R",'Mapa final'!$A$29),"")</f>
        <v/>
      </c>
      <c r="AC36" s="301"/>
      <c r="AD36" s="299" t="str">
        <f>IF(AND('Mapa final'!$H$35="Baja",'Mapa final'!$L$35="Mayor"),CONCATENATE("R",'Mapa final'!$A$35),"")</f>
        <v/>
      </c>
      <c r="AE36" s="299"/>
      <c r="AF36" s="299" t="str">
        <f>IF(AND('Mapa final'!$H$41="Baja",'Mapa final'!$L$41="Mayor"),CONCATENATE("R",'Mapa final'!$A$41),"")</f>
        <v/>
      </c>
      <c r="AG36" s="300"/>
      <c r="AH36" s="312" t="str">
        <f>IF(AND('Mapa final'!$H$29="Baja",'Mapa final'!$L$29="Catastrófico"),CONCATENATE("R",'Mapa final'!$A$29),"")</f>
        <v/>
      </c>
      <c r="AI36" s="313"/>
      <c r="AJ36" s="313" t="str">
        <f>IF(AND('Mapa final'!$H$35="Baja",'Mapa final'!$L$35="Catastrófico"),CONCATENATE("R",'Mapa final'!$A$35),"")</f>
        <v/>
      </c>
      <c r="AK36" s="313"/>
      <c r="AL36" s="313" t="str">
        <f>IF(AND('Mapa final'!$H$41="Baja",'Mapa final'!$L$41="Catastrófico"),CONCATENATE("R",'Mapa final'!$A$41),"")</f>
        <v/>
      </c>
      <c r="AM36" s="314"/>
      <c r="AN36" s="84"/>
      <c r="AO36" s="284"/>
      <c r="AP36" s="285"/>
      <c r="AQ36" s="285"/>
      <c r="AR36" s="285"/>
      <c r="AS36" s="285"/>
      <c r="AT36" s="28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52"/>
      <c r="C37" s="252"/>
      <c r="D37" s="253"/>
      <c r="E37" s="296"/>
      <c r="F37" s="297"/>
      <c r="G37" s="297"/>
      <c r="H37" s="297"/>
      <c r="I37" s="297"/>
      <c r="J37" s="333"/>
      <c r="K37" s="334"/>
      <c r="L37" s="334"/>
      <c r="M37" s="334"/>
      <c r="N37" s="334"/>
      <c r="O37" s="335"/>
      <c r="P37" s="325"/>
      <c r="Q37" s="325"/>
      <c r="R37" s="325"/>
      <c r="S37" s="325"/>
      <c r="T37" s="325"/>
      <c r="U37" s="326"/>
      <c r="V37" s="324"/>
      <c r="W37" s="325"/>
      <c r="X37" s="325"/>
      <c r="Y37" s="325"/>
      <c r="Z37" s="325"/>
      <c r="AA37" s="326"/>
      <c r="AB37" s="309"/>
      <c r="AC37" s="310"/>
      <c r="AD37" s="310"/>
      <c r="AE37" s="310"/>
      <c r="AF37" s="310"/>
      <c r="AG37" s="311"/>
      <c r="AH37" s="315"/>
      <c r="AI37" s="316"/>
      <c r="AJ37" s="316"/>
      <c r="AK37" s="316"/>
      <c r="AL37" s="316"/>
      <c r="AM37" s="317"/>
      <c r="AN37" s="84"/>
      <c r="AO37" s="287"/>
      <c r="AP37" s="288"/>
      <c r="AQ37" s="288"/>
      <c r="AR37" s="288"/>
      <c r="AS37" s="288"/>
      <c r="AT37" s="28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52"/>
      <c r="C38" s="252"/>
      <c r="D38" s="253"/>
      <c r="E38" s="290" t="s">
        <v>113</v>
      </c>
      <c r="F38" s="291"/>
      <c r="G38" s="291"/>
      <c r="H38" s="291"/>
      <c r="I38" s="292"/>
      <c r="J38" s="336" t="str">
        <f>IF(AND('Mapa final'!$H$10="Muy Baja",'Mapa final'!$L$10="Leve"),CONCATENATE("R",'Mapa final'!$A$10),"")</f>
        <v/>
      </c>
      <c r="K38" s="337"/>
      <c r="L38" s="337" t="str">
        <f>IF(AND('Mapa final'!$H$11="Muy Baja",'Mapa final'!$L$11="Leve"),CONCATENATE("R",'Mapa final'!$A$11),"")</f>
        <v/>
      </c>
      <c r="M38" s="337"/>
      <c r="N38" s="337" t="str">
        <f>IF(AND('Mapa final'!$H$12="Muy Baja",'Mapa final'!$L$12="Leve"),CONCATENATE("R",'Mapa final'!$A$12),"")</f>
        <v/>
      </c>
      <c r="O38" s="338"/>
      <c r="P38" s="336" t="str">
        <f>IF(AND('Mapa final'!$H$10="Muy Baja",'Mapa final'!$L$10="Menor"),CONCATENATE("R",'Mapa final'!$A$10),"")</f>
        <v/>
      </c>
      <c r="Q38" s="337"/>
      <c r="R38" s="337" t="str">
        <f>IF(AND('Mapa final'!$H$11="Muy Baja",'Mapa final'!$L$11="Menor"),CONCATENATE("R",'Mapa final'!$A$11),"")</f>
        <v/>
      </c>
      <c r="S38" s="337"/>
      <c r="T38" s="337" t="str">
        <f>IF(AND('Mapa final'!$H$12="Muy Baja",'Mapa final'!$L$12="Menor"),CONCATENATE("R",'Mapa final'!$A$12),"")</f>
        <v/>
      </c>
      <c r="U38" s="338"/>
      <c r="V38" s="327" t="str">
        <f>IF(AND('Mapa final'!$H$10="Muy Baja",'Mapa final'!$L$10="Moderado"),CONCATENATE("R",'Mapa final'!$A$10),"")</f>
        <v/>
      </c>
      <c r="W38" s="328"/>
      <c r="X38" s="328" t="str">
        <f>IF(AND('Mapa final'!$H$11="Muy Baja",'Mapa final'!$L$11="Moderado"),CONCATENATE("R",'Mapa final'!$A$11),"")</f>
        <v/>
      </c>
      <c r="Y38" s="328"/>
      <c r="Z38" s="328" t="str">
        <f>IF(AND('Mapa final'!$H$12="Muy Baja",'Mapa final'!$L$12="Moderado"),CONCATENATE("R",'Mapa final'!$A$12),"")</f>
        <v/>
      </c>
      <c r="AA38" s="329"/>
      <c r="AB38" s="302" t="str">
        <f>IF(AND('Mapa final'!$H$10="Muy Baja",'Mapa final'!$L$10="Mayor"),CONCATENATE("R",'Mapa final'!$A$10),"")</f>
        <v/>
      </c>
      <c r="AC38" s="303"/>
      <c r="AD38" s="303" t="str">
        <f>IF(AND('Mapa final'!$H$11="Muy Baja",'Mapa final'!$L$11="Mayor"),CONCATENATE("R",'Mapa final'!$A$11),"")</f>
        <v/>
      </c>
      <c r="AE38" s="303"/>
      <c r="AF38" s="303" t="str">
        <f>IF(AND('Mapa final'!$H$12="Muy Baja",'Mapa final'!$L$12="Mayor"),CONCATENATE("R",'Mapa final'!$A$12),"")</f>
        <v/>
      </c>
      <c r="AG38" s="305"/>
      <c r="AH38" s="318" t="str">
        <f>IF(AND('Mapa final'!$H$10="Muy Baja",'Mapa final'!$L$10="Catastrófico"),CONCATENATE("R",'Mapa final'!$A$10),"")</f>
        <v/>
      </c>
      <c r="AI38" s="319"/>
      <c r="AJ38" s="319" t="str">
        <f>IF(AND('Mapa final'!$H$11="Muy Baja",'Mapa final'!$L$11="Catastrófico"),CONCATENATE("R",'Mapa final'!$A$11),"")</f>
        <v/>
      </c>
      <c r="AK38" s="319"/>
      <c r="AL38" s="319" t="str">
        <f>IF(AND('Mapa final'!$H$12="Muy Baja",'Mapa final'!$L$12="Catastrófico"),CONCATENATE("R",'Mapa final'!$A$12),"")</f>
        <v/>
      </c>
      <c r="AM38" s="320"/>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52"/>
      <c r="C39" s="252"/>
      <c r="D39" s="253"/>
      <c r="E39" s="293"/>
      <c r="F39" s="294"/>
      <c r="G39" s="294"/>
      <c r="H39" s="294"/>
      <c r="I39" s="295"/>
      <c r="J39" s="332"/>
      <c r="K39" s="330"/>
      <c r="L39" s="330"/>
      <c r="M39" s="330"/>
      <c r="N39" s="330"/>
      <c r="O39" s="331"/>
      <c r="P39" s="332"/>
      <c r="Q39" s="330"/>
      <c r="R39" s="330"/>
      <c r="S39" s="330"/>
      <c r="T39" s="330"/>
      <c r="U39" s="331"/>
      <c r="V39" s="321"/>
      <c r="W39" s="322"/>
      <c r="X39" s="322"/>
      <c r="Y39" s="322"/>
      <c r="Z39" s="322"/>
      <c r="AA39" s="323"/>
      <c r="AB39" s="304"/>
      <c r="AC39" s="301"/>
      <c r="AD39" s="301"/>
      <c r="AE39" s="301"/>
      <c r="AF39" s="301"/>
      <c r="AG39" s="300"/>
      <c r="AH39" s="312"/>
      <c r="AI39" s="313"/>
      <c r="AJ39" s="313"/>
      <c r="AK39" s="313"/>
      <c r="AL39" s="313"/>
      <c r="AM39" s="31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52"/>
      <c r="C40" s="252"/>
      <c r="D40" s="253"/>
      <c r="E40" s="293"/>
      <c r="F40" s="294"/>
      <c r="G40" s="294"/>
      <c r="H40" s="294"/>
      <c r="I40" s="295"/>
      <c r="J40" s="332" t="str">
        <f>IF(AND('Mapa final'!$H$13="Muy Baja",'Mapa final'!$L$13="Leve"),CONCATENATE("R",'Mapa final'!$A$13),"")</f>
        <v/>
      </c>
      <c r="K40" s="330"/>
      <c r="L40" s="330" t="str">
        <f>IF(AND('Mapa final'!$H$14="Muy Baja",'Mapa final'!$L$14="Leve"),CONCATENATE("R",'Mapa final'!$A$14),"")</f>
        <v/>
      </c>
      <c r="M40" s="330"/>
      <c r="N40" s="330" t="str">
        <f>IF(AND('Mapa final'!$H$15="Muy Baja",'Mapa final'!$L$15="Leve"),CONCATENATE("R",'Mapa final'!$A$15),"")</f>
        <v/>
      </c>
      <c r="O40" s="331"/>
      <c r="P40" s="332" t="str">
        <f>IF(AND('Mapa final'!$H$13="Muy Baja",'Mapa final'!$L$13="Menor"),CONCATENATE("R",'Mapa final'!$A$13),"")</f>
        <v/>
      </c>
      <c r="Q40" s="330"/>
      <c r="R40" s="330" t="str">
        <f>IF(AND('Mapa final'!$H$14="Muy Baja",'Mapa final'!$L$14="Menor"),CONCATENATE("R",'Mapa final'!$A$14),"")</f>
        <v/>
      </c>
      <c r="S40" s="330"/>
      <c r="T40" s="330" t="str">
        <f>IF(AND('Mapa final'!$H$15="Muy Baja",'Mapa final'!$L$15="Menor"),CONCATENATE("R",'Mapa final'!$A$15),"")</f>
        <v/>
      </c>
      <c r="U40" s="331"/>
      <c r="V40" s="321" t="str">
        <f>IF(AND('Mapa final'!$H$13="Muy Baja",'Mapa final'!$L$13="Moderado"),CONCATENATE("R",'Mapa final'!$A$13),"")</f>
        <v/>
      </c>
      <c r="W40" s="322"/>
      <c r="X40" s="322" t="str">
        <f>IF(AND('Mapa final'!$H$14="Muy Baja",'Mapa final'!$L$14="Moderado"),CONCATENATE("R",'Mapa final'!$A$14),"")</f>
        <v/>
      </c>
      <c r="Y40" s="322"/>
      <c r="Z40" s="322" t="str">
        <f>IF(AND('Mapa final'!$H$15="Muy Baja",'Mapa final'!$L$15="Moderado"),CONCATENATE("R",'Mapa final'!$A$15),"")</f>
        <v/>
      </c>
      <c r="AA40" s="323"/>
      <c r="AB40" s="304" t="str">
        <f>IF(AND('Mapa final'!$H$13="Muy Baja",'Mapa final'!$L$13="Mayor"),CONCATENATE("R",'Mapa final'!$A$13),"")</f>
        <v/>
      </c>
      <c r="AC40" s="301"/>
      <c r="AD40" s="299" t="str">
        <f>IF(AND('Mapa final'!$H$14="Muy Baja",'Mapa final'!$L$14="Mayor"),CONCATENATE("R",'Mapa final'!$A$14),"")</f>
        <v/>
      </c>
      <c r="AE40" s="299"/>
      <c r="AF40" s="299" t="str">
        <f>IF(AND('Mapa final'!$H$15="Muy Baja",'Mapa final'!$L$15="Mayor"),CONCATENATE("R",'Mapa final'!$A$15),"")</f>
        <v/>
      </c>
      <c r="AG40" s="300"/>
      <c r="AH40" s="312" t="str">
        <f>IF(AND('Mapa final'!$H$13="Muy Baja",'Mapa final'!$L$13="Catastrófico"),CONCATENATE("R",'Mapa final'!$A$13),"")</f>
        <v/>
      </c>
      <c r="AI40" s="313"/>
      <c r="AJ40" s="313" t="str">
        <f>IF(AND('Mapa final'!$H$14="Muy Baja",'Mapa final'!$L$14="Catastrófico"),CONCATENATE("R",'Mapa final'!$A$14),"")</f>
        <v/>
      </c>
      <c r="AK40" s="313"/>
      <c r="AL40" s="313" t="str">
        <f>IF(AND('Mapa final'!$H$15="Muy Baja",'Mapa final'!$L$15="Catastrófico"),CONCATENATE("R",'Mapa final'!$A$15),"")</f>
        <v/>
      </c>
      <c r="AM40" s="31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52"/>
      <c r="C41" s="252"/>
      <c r="D41" s="253"/>
      <c r="E41" s="293"/>
      <c r="F41" s="294"/>
      <c r="G41" s="294"/>
      <c r="H41" s="294"/>
      <c r="I41" s="295"/>
      <c r="J41" s="332"/>
      <c r="K41" s="330"/>
      <c r="L41" s="330"/>
      <c r="M41" s="330"/>
      <c r="N41" s="330"/>
      <c r="O41" s="331"/>
      <c r="P41" s="332"/>
      <c r="Q41" s="330"/>
      <c r="R41" s="330"/>
      <c r="S41" s="330"/>
      <c r="T41" s="330"/>
      <c r="U41" s="331"/>
      <c r="V41" s="321"/>
      <c r="W41" s="322"/>
      <c r="X41" s="322"/>
      <c r="Y41" s="322"/>
      <c r="Z41" s="322"/>
      <c r="AA41" s="323"/>
      <c r="AB41" s="304"/>
      <c r="AC41" s="301"/>
      <c r="AD41" s="299"/>
      <c r="AE41" s="299"/>
      <c r="AF41" s="299"/>
      <c r="AG41" s="300"/>
      <c r="AH41" s="312"/>
      <c r="AI41" s="313"/>
      <c r="AJ41" s="313"/>
      <c r="AK41" s="313"/>
      <c r="AL41" s="313"/>
      <c r="AM41" s="31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52"/>
      <c r="C42" s="252"/>
      <c r="D42" s="253"/>
      <c r="E42" s="293"/>
      <c r="F42" s="294"/>
      <c r="G42" s="294"/>
      <c r="H42" s="294"/>
      <c r="I42" s="295"/>
      <c r="J42" s="332" t="str">
        <f>IF(AND('Mapa final'!$H$16="Muy Baja",'Mapa final'!$L$16="Leve"),CONCATENATE("R",'Mapa final'!$A$16),"")</f>
        <v/>
      </c>
      <c r="K42" s="330"/>
      <c r="L42" s="330" t="str">
        <f>IF(AND('Mapa final'!$H$17="Muy Baja",'Mapa final'!$L$17="Leve"),CONCATENATE("R",'Mapa final'!$A$17),"")</f>
        <v/>
      </c>
      <c r="M42" s="330"/>
      <c r="N42" s="330" t="str">
        <f>IF(AND('Mapa final'!$H$23="Muy Baja",'Mapa final'!$L$23="Leve"),CONCATENATE("R",'Mapa final'!$A$23),"")</f>
        <v/>
      </c>
      <c r="O42" s="331"/>
      <c r="P42" s="332" t="str">
        <f>IF(AND('Mapa final'!$H$16="Muy Baja",'Mapa final'!$L$16="Menor"),CONCATENATE("R",'Mapa final'!$A$16),"")</f>
        <v/>
      </c>
      <c r="Q42" s="330"/>
      <c r="R42" s="330" t="str">
        <f>IF(AND('Mapa final'!$H$17="Muy Baja",'Mapa final'!$L$17="Menor"),CONCATENATE("R",'Mapa final'!$A$17),"")</f>
        <v/>
      </c>
      <c r="S42" s="330"/>
      <c r="T42" s="330" t="str">
        <f>IF(AND('Mapa final'!$H$23="Muy Baja",'Mapa final'!$L$23="Menor"),CONCATENATE("R",'Mapa final'!$A$23),"")</f>
        <v/>
      </c>
      <c r="U42" s="331"/>
      <c r="V42" s="321" t="str">
        <f>IF(AND('Mapa final'!$H$16="Muy Baja",'Mapa final'!$L$16="Moderado"),CONCATENATE("R",'Mapa final'!$A$16),"")</f>
        <v/>
      </c>
      <c r="W42" s="322"/>
      <c r="X42" s="322" t="str">
        <f>IF(AND('Mapa final'!$H$17="Muy Baja",'Mapa final'!$L$17="Moderado"),CONCATENATE("R",'Mapa final'!$A$17),"")</f>
        <v/>
      </c>
      <c r="Y42" s="322"/>
      <c r="Z42" s="322" t="str">
        <f>IF(AND('Mapa final'!$H$23="Muy Baja",'Mapa final'!$L$23="Moderado"),CONCATENATE("R",'Mapa final'!$A$23),"")</f>
        <v/>
      </c>
      <c r="AA42" s="323"/>
      <c r="AB42" s="304" t="str">
        <f>IF(AND('Mapa final'!$H$16="Muy Baja",'Mapa final'!$L$16="Mayor"),CONCATENATE("R",'Mapa final'!$A$16),"")</f>
        <v/>
      </c>
      <c r="AC42" s="301"/>
      <c r="AD42" s="299" t="str">
        <f>IF(AND('Mapa final'!$H$17="Muy Baja",'Mapa final'!$L$17="Mayor"),CONCATENATE("R",'Mapa final'!$A$17),"")</f>
        <v/>
      </c>
      <c r="AE42" s="299"/>
      <c r="AF42" s="299" t="str">
        <f>IF(AND('Mapa final'!$H$23="Muy Baja",'Mapa final'!$L$23="Mayor"),CONCATENATE("R",'Mapa final'!$A$23),"")</f>
        <v/>
      </c>
      <c r="AG42" s="300"/>
      <c r="AH42" s="312" t="str">
        <f>IF(AND('Mapa final'!$H$16="Muy Baja",'Mapa final'!$L$16="Catastrófico"),CONCATENATE("R",'Mapa final'!$A$16),"")</f>
        <v/>
      </c>
      <c r="AI42" s="313"/>
      <c r="AJ42" s="313" t="str">
        <f>IF(AND('Mapa final'!$H$17="Muy Baja",'Mapa final'!$L$17="Catastrófico"),CONCATENATE("R",'Mapa final'!$A$17),"")</f>
        <v/>
      </c>
      <c r="AK42" s="313"/>
      <c r="AL42" s="313" t="str">
        <f>IF(AND('Mapa final'!$H$23="Muy Baja",'Mapa final'!$L$23="Catastrófico"),CONCATENATE("R",'Mapa final'!$A$23),"")</f>
        <v/>
      </c>
      <c r="AM42" s="31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52"/>
      <c r="C43" s="252"/>
      <c r="D43" s="253"/>
      <c r="E43" s="293"/>
      <c r="F43" s="294"/>
      <c r="G43" s="294"/>
      <c r="H43" s="294"/>
      <c r="I43" s="295"/>
      <c r="J43" s="332"/>
      <c r="K43" s="330"/>
      <c r="L43" s="330"/>
      <c r="M43" s="330"/>
      <c r="N43" s="330"/>
      <c r="O43" s="331"/>
      <c r="P43" s="332"/>
      <c r="Q43" s="330"/>
      <c r="R43" s="330"/>
      <c r="S43" s="330"/>
      <c r="T43" s="330"/>
      <c r="U43" s="331"/>
      <c r="V43" s="321"/>
      <c r="W43" s="322"/>
      <c r="X43" s="322"/>
      <c r="Y43" s="322"/>
      <c r="Z43" s="322"/>
      <c r="AA43" s="323"/>
      <c r="AB43" s="304"/>
      <c r="AC43" s="301"/>
      <c r="AD43" s="299"/>
      <c r="AE43" s="299"/>
      <c r="AF43" s="299"/>
      <c r="AG43" s="300"/>
      <c r="AH43" s="312"/>
      <c r="AI43" s="313"/>
      <c r="AJ43" s="313"/>
      <c r="AK43" s="313"/>
      <c r="AL43" s="313"/>
      <c r="AM43" s="31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52"/>
      <c r="C44" s="252"/>
      <c r="D44" s="253"/>
      <c r="E44" s="293"/>
      <c r="F44" s="294"/>
      <c r="G44" s="294"/>
      <c r="H44" s="294"/>
      <c r="I44" s="295"/>
      <c r="J44" s="332" t="str">
        <f>IF(AND('Mapa final'!$H$29="Muy Baja",'Mapa final'!$L$29="Leve"),CONCATENATE("R",'Mapa final'!$A$29),"")</f>
        <v/>
      </c>
      <c r="K44" s="330"/>
      <c r="L44" s="330" t="str">
        <f>IF(AND('Mapa final'!$H$35="Muy Baja",'Mapa final'!$L$35="Leve"),CONCATENATE("R",'Mapa final'!$A$35),"")</f>
        <v/>
      </c>
      <c r="M44" s="330"/>
      <c r="N44" s="330" t="str">
        <f>IF(AND('Mapa final'!$H$41="Muy Baja",'Mapa final'!$L$41="Leve"),CONCATENATE("R",'Mapa final'!$A$41),"")</f>
        <v/>
      </c>
      <c r="O44" s="331"/>
      <c r="P44" s="332" t="str">
        <f>IF(AND('Mapa final'!$H$29="Muy Baja",'Mapa final'!$L$29="Menor"),CONCATENATE("R",'Mapa final'!$A$29),"")</f>
        <v/>
      </c>
      <c r="Q44" s="330"/>
      <c r="R44" s="330" t="str">
        <f>IF(AND('Mapa final'!$H$35="Muy Baja",'Mapa final'!$L$35="Menor"),CONCATENATE("R",'Mapa final'!$A$35),"")</f>
        <v/>
      </c>
      <c r="S44" s="330"/>
      <c r="T44" s="330" t="str">
        <f>IF(AND('Mapa final'!$H$41="Muy Baja",'Mapa final'!$L$41="Menor"),CONCATENATE("R",'Mapa final'!$A$41),"")</f>
        <v/>
      </c>
      <c r="U44" s="331"/>
      <c r="V44" s="321" t="str">
        <f>IF(AND('Mapa final'!$H$29="Muy Baja",'Mapa final'!$L$29="Moderado"),CONCATENATE("R",'Mapa final'!$A$29),"")</f>
        <v/>
      </c>
      <c r="W44" s="322"/>
      <c r="X44" s="322" t="str">
        <f>IF(AND('Mapa final'!$H$35="Muy Baja",'Mapa final'!$L$35="Moderado"),CONCATENATE("R",'Mapa final'!$A$35),"")</f>
        <v/>
      </c>
      <c r="Y44" s="322"/>
      <c r="Z44" s="322" t="str">
        <f>IF(AND('Mapa final'!$H$41="Muy Baja",'Mapa final'!$L$41="Moderado"),CONCATENATE("R",'Mapa final'!$A$41),"")</f>
        <v/>
      </c>
      <c r="AA44" s="323"/>
      <c r="AB44" s="304" t="str">
        <f>IF(AND('Mapa final'!$H$29="Muy Baja",'Mapa final'!$L$29="Mayor"),CONCATENATE("R",'Mapa final'!$A$29),"")</f>
        <v/>
      </c>
      <c r="AC44" s="301"/>
      <c r="AD44" s="299" t="str">
        <f>IF(AND('Mapa final'!$H$35="Muy Baja",'Mapa final'!$L$35="Mayor"),CONCATENATE("R",'Mapa final'!$A$35),"")</f>
        <v/>
      </c>
      <c r="AE44" s="299"/>
      <c r="AF44" s="299" t="str">
        <f>IF(AND('Mapa final'!$H$41="Muy Baja",'Mapa final'!$L$41="Mayor"),CONCATENATE("R",'Mapa final'!$A$41),"")</f>
        <v/>
      </c>
      <c r="AG44" s="300"/>
      <c r="AH44" s="312" t="str">
        <f>IF(AND('Mapa final'!$H$29="Muy Baja",'Mapa final'!$L$29="Catastrófico"),CONCATENATE("R",'Mapa final'!$A$29),"")</f>
        <v/>
      </c>
      <c r="AI44" s="313"/>
      <c r="AJ44" s="313" t="str">
        <f>IF(AND('Mapa final'!$H$35="Muy Baja",'Mapa final'!$L$35="Catastrófico"),CONCATENATE("R",'Mapa final'!$A$35),"")</f>
        <v/>
      </c>
      <c r="AK44" s="313"/>
      <c r="AL44" s="313" t="str">
        <f>IF(AND('Mapa final'!$H$41="Muy Baja",'Mapa final'!$L$41="Catastrófico"),CONCATENATE("R",'Mapa final'!$A$41),"")</f>
        <v/>
      </c>
      <c r="AM44" s="31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52"/>
      <c r="C45" s="252"/>
      <c r="D45" s="253"/>
      <c r="E45" s="296"/>
      <c r="F45" s="297"/>
      <c r="G45" s="297"/>
      <c r="H45" s="297"/>
      <c r="I45" s="298"/>
      <c r="J45" s="333"/>
      <c r="K45" s="334"/>
      <c r="L45" s="334"/>
      <c r="M45" s="334"/>
      <c r="N45" s="334"/>
      <c r="O45" s="335"/>
      <c r="P45" s="333"/>
      <c r="Q45" s="334"/>
      <c r="R45" s="334"/>
      <c r="S45" s="334"/>
      <c r="T45" s="334"/>
      <c r="U45" s="335"/>
      <c r="V45" s="324"/>
      <c r="W45" s="325"/>
      <c r="X45" s="325"/>
      <c r="Y45" s="325"/>
      <c r="Z45" s="325"/>
      <c r="AA45" s="326"/>
      <c r="AB45" s="309"/>
      <c r="AC45" s="310"/>
      <c r="AD45" s="310"/>
      <c r="AE45" s="310"/>
      <c r="AF45" s="310"/>
      <c r="AG45" s="311"/>
      <c r="AH45" s="315"/>
      <c r="AI45" s="316"/>
      <c r="AJ45" s="316"/>
      <c r="AK45" s="316"/>
      <c r="AL45" s="316"/>
      <c r="AM45" s="317"/>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0" t="s">
        <v>112</v>
      </c>
      <c r="K46" s="291"/>
      <c r="L46" s="291"/>
      <c r="M46" s="291"/>
      <c r="N46" s="291"/>
      <c r="O46" s="292"/>
      <c r="P46" s="290" t="s">
        <v>111</v>
      </c>
      <c r="Q46" s="291"/>
      <c r="R46" s="291"/>
      <c r="S46" s="291"/>
      <c r="T46" s="291"/>
      <c r="U46" s="292"/>
      <c r="V46" s="290" t="s">
        <v>110</v>
      </c>
      <c r="W46" s="291"/>
      <c r="X46" s="291"/>
      <c r="Y46" s="291"/>
      <c r="Z46" s="291"/>
      <c r="AA46" s="292"/>
      <c r="AB46" s="290" t="s">
        <v>109</v>
      </c>
      <c r="AC46" s="308"/>
      <c r="AD46" s="291"/>
      <c r="AE46" s="291"/>
      <c r="AF46" s="291"/>
      <c r="AG46" s="292"/>
      <c r="AH46" s="290" t="s">
        <v>108</v>
      </c>
      <c r="AI46" s="291"/>
      <c r="AJ46" s="291"/>
      <c r="AK46" s="291"/>
      <c r="AL46" s="291"/>
      <c r="AM46" s="292"/>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3"/>
      <c r="K47" s="294"/>
      <c r="L47" s="294"/>
      <c r="M47" s="294"/>
      <c r="N47" s="294"/>
      <c r="O47" s="295"/>
      <c r="P47" s="293"/>
      <c r="Q47" s="294"/>
      <c r="R47" s="294"/>
      <c r="S47" s="294"/>
      <c r="T47" s="294"/>
      <c r="U47" s="295"/>
      <c r="V47" s="293"/>
      <c r="W47" s="294"/>
      <c r="X47" s="294"/>
      <c r="Y47" s="294"/>
      <c r="Z47" s="294"/>
      <c r="AA47" s="295"/>
      <c r="AB47" s="293"/>
      <c r="AC47" s="294"/>
      <c r="AD47" s="294"/>
      <c r="AE47" s="294"/>
      <c r="AF47" s="294"/>
      <c r="AG47" s="295"/>
      <c r="AH47" s="293"/>
      <c r="AI47" s="294"/>
      <c r="AJ47" s="294"/>
      <c r="AK47" s="294"/>
      <c r="AL47" s="294"/>
      <c r="AM47" s="295"/>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3"/>
      <c r="K48" s="294"/>
      <c r="L48" s="294"/>
      <c r="M48" s="294"/>
      <c r="N48" s="294"/>
      <c r="O48" s="295"/>
      <c r="P48" s="293"/>
      <c r="Q48" s="294"/>
      <c r="R48" s="294"/>
      <c r="S48" s="294"/>
      <c r="T48" s="294"/>
      <c r="U48" s="295"/>
      <c r="V48" s="293"/>
      <c r="W48" s="294"/>
      <c r="X48" s="294"/>
      <c r="Y48" s="294"/>
      <c r="Z48" s="294"/>
      <c r="AA48" s="295"/>
      <c r="AB48" s="293"/>
      <c r="AC48" s="294"/>
      <c r="AD48" s="294"/>
      <c r="AE48" s="294"/>
      <c r="AF48" s="294"/>
      <c r="AG48" s="295"/>
      <c r="AH48" s="293"/>
      <c r="AI48" s="294"/>
      <c r="AJ48" s="294"/>
      <c r="AK48" s="294"/>
      <c r="AL48" s="294"/>
      <c r="AM48" s="295"/>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3"/>
      <c r="K49" s="294"/>
      <c r="L49" s="294"/>
      <c r="M49" s="294"/>
      <c r="N49" s="294"/>
      <c r="O49" s="295"/>
      <c r="P49" s="293"/>
      <c r="Q49" s="294"/>
      <c r="R49" s="294"/>
      <c r="S49" s="294"/>
      <c r="T49" s="294"/>
      <c r="U49" s="295"/>
      <c r="V49" s="293"/>
      <c r="W49" s="294"/>
      <c r="X49" s="294"/>
      <c r="Y49" s="294"/>
      <c r="Z49" s="294"/>
      <c r="AA49" s="295"/>
      <c r="AB49" s="293"/>
      <c r="AC49" s="294"/>
      <c r="AD49" s="294"/>
      <c r="AE49" s="294"/>
      <c r="AF49" s="294"/>
      <c r="AG49" s="295"/>
      <c r="AH49" s="293"/>
      <c r="AI49" s="294"/>
      <c r="AJ49" s="294"/>
      <c r="AK49" s="294"/>
      <c r="AL49" s="294"/>
      <c r="AM49" s="295"/>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3"/>
      <c r="K50" s="294"/>
      <c r="L50" s="294"/>
      <c r="M50" s="294"/>
      <c r="N50" s="294"/>
      <c r="O50" s="295"/>
      <c r="P50" s="293"/>
      <c r="Q50" s="294"/>
      <c r="R50" s="294"/>
      <c r="S50" s="294"/>
      <c r="T50" s="294"/>
      <c r="U50" s="295"/>
      <c r="V50" s="293"/>
      <c r="W50" s="294"/>
      <c r="X50" s="294"/>
      <c r="Y50" s="294"/>
      <c r="Z50" s="294"/>
      <c r="AA50" s="295"/>
      <c r="AB50" s="293"/>
      <c r="AC50" s="294"/>
      <c r="AD50" s="294"/>
      <c r="AE50" s="294"/>
      <c r="AF50" s="294"/>
      <c r="AG50" s="295"/>
      <c r="AH50" s="293"/>
      <c r="AI50" s="294"/>
      <c r="AJ50" s="294"/>
      <c r="AK50" s="294"/>
      <c r="AL50" s="294"/>
      <c r="AM50" s="295"/>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6"/>
      <c r="K51" s="297"/>
      <c r="L51" s="297"/>
      <c r="M51" s="297"/>
      <c r="N51" s="297"/>
      <c r="O51" s="298"/>
      <c r="P51" s="296"/>
      <c r="Q51" s="297"/>
      <c r="R51" s="297"/>
      <c r="S51" s="297"/>
      <c r="T51" s="297"/>
      <c r="U51" s="298"/>
      <c r="V51" s="296"/>
      <c r="W51" s="297"/>
      <c r="X51" s="297"/>
      <c r="Y51" s="297"/>
      <c r="Z51" s="297"/>
      <c r="AA51" s="298"/>
      <c r="AB51" s="296"/>
      <c r="AC51" s="297"/>
      <c r="AD51" s="297"/>
      <c r="AE51" s="297"/>
      <c r="AF51" s="297"/>
      <c r="AG51" s="298"/>
      <c r="AH51" s="296"/>
      <c r="AI51" s="297"/>
      <c r="AJ51" s="297"/>
      <c r="AK51" s="297"/>
      <c r="AL51" s="297"/>
      <c r="AM51" s="298"/>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6" t="s">
        <v>160</v>
      </c>
      <c r="C2" s="367"/>
      <c r="D2" s="367"/>
      <c r="E2" s="367"/>
      <c r="F2" s="367"/>
      <c r="G2" s="367"/>
      <c r="H2" s="367"/>
      <c r="I2" s="367"/>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7"/>
      <c r="C3" s="367"/>
      <c r="D3" s="367"/>
      <c r="E3" s="367"/>
      <c r="F3" s="367"/>
      <c r="G3" s="367"/>
      <c r="H3" s="367"/>
      <c r="I3" s="367"/>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7"/>
      <c r="C4" s="367"/>
      <c r="D4" s="367"/>
      <c r="E4" s="367"/>
      <c r="F4" s="367"/>
      <c r="G4" s="367"/>
      <c r="H4" s="367"/>
      <c r="I4" s="367"/>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52" t="s">
        <v>4</v>
      </c>
      <c r="C6" s="252"/>
      <c r="D6" s="253"/>
      <c r="E6" s="349" t="s">
        <v>116</v>
      </c>
      <c r="F6" s="350"/>
      <c r="G6" s="350"/>
      <c r="H6" s="350"/>
      <c r="I6" s="368"/>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7" t="s">
        <v>79</v>
      </c>
      <c r="AP6" s="358"/>
      <c r="AQ6" s="358"/>
      <c r="AR6" s="358"/>
      <c r="AS6" s="358"/>
      <c r="AT6" s="35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52"/>
      <c r="C7" s="252"/>
      <c r="D7" s="253"/>
      <c r="E7" s="353"/>
      <c r="F7" s="354"/>
      <c r="G7" s="354"/>
      <c r="H7" s="354"/>
      <c r="I7" s="369"/>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0"/>
      <c r="AP7" s="361"/>
      <c r="AQ7" s="361"/>
      <c r="AR7" s="361"/>
      <c r="AS7" s="361"/>
      <c r="AT7" s="36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52"/>
      <c r="C8" s="252"/>
      <c r="D8" s="253"/>
      <c r="E8" s="353"/>
      <c r="F8" s="354"/>
      <c r="G8" s="354"/>
      <c r="H8" s="354"/>
      <c r="I8" s="369"/>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0"/>
      <c r="AP8" s="361"/>
      <c r="AQ8" s="361"/>
      <c r="AR8" s="361"/>
      <c r="AS8" s="361"/>
      <c r="AT8" s="36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52"/>
      <c r="C9" s="252"/>
      <c r="D9" s="253"/>
      <c r="E9" s="353"/>
      <c r="F9" s="354"/>
      <c r="G9" s="354"/>
      <c r="H9" s="354"/>
      <c r="I9" s="369"/>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60"/>
      <c r="AP9" s="361"/>
      <c r="AQ9" s="361"/>
      <c r="AR9" s="361"/>
      <c r="AS9" s="361"/>
      <c r="AT9" s="36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52"/>
      <c r="C10" s="252"/>
      <c r="D10" s="253"/>
      <c r="E10" s="353"/>
      <c r="F10" s="354"/>
      <c r="G10" s="354"/>
      <c r="H10" s="354"/>
      <c r="I10" s="369"/>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60"/>
      <c r="AP10" s="361"/>
      <c r="AQ10" s="361"/>
      <c r="AR10" s="361"/>
      <c r="AS10" s="361"/>
      <c r="AT10" s="36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52"/>
      <c r="C11" s="252"/>
      <c r="D11" s="253"/>
      <c r="E11" s="353"/>
      <c r="F11" s="354"/>
      <c r="G11" s="354"/>
      <c r="H11" s="354"/>
      <c r="I11" s="369"/>
      <c r="J11" s="52" t="str">
        <f>IF(AND('Mapa final'!$Y$15="Muy Alta",'Mapa final'!$AA$15="Leve"),CONCATENATE("R6C",'Mapa final'!$O$15),"")</f>
        <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60"/>
      <c r="AP11" s="361"/>
      <c r="AQ11" s="361"/>
      <c r="AR11" s="361"/>
      <c r="AS11" s="361"/>
      <c r="AT11" s="36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52"/>
      <c r="C12" s="252"/>
      <c r="D12" s="253"/>
      <c r="E12" s="353"/>
      <c r="F12" s="354"/>
      <c r="G12" s="354"/>
      <c r="H12" s="354"/>
      <c r="I12" s="369"/>
      <c r="J12" s="52" t="str">
        <f>IF(AND('Mapa final'!$Y$16="Muy Alta",'Mapa final'!$AA$16="Leve"),CONCATENATE("R7C",'Mapa final'!$O$16),"")</f>
        <v/>
      </c>
      <c r="K12" s="53" t="e">
        <f>IF(AND('Mapa final'!#REF!="Muy Alta",'Mapa final'!#REF!="Leve"),CONCATENATE("R7C",'Mapa final'!#REF!),"")</f>
        <v>#REF!</v>
      </c>
      <c r="L12" s="58" t="e">
        <f>IF(AND('Mapa final'!#REF!="Muy Alta",'Mapa final'!#REF!="Leve"),CONCATENATE("R7C",'Mapa final'!#REF!),"")</f>
        <v>#REF!</v>
      </c>
      <c r="M12" s="58" t="e">
        <f>IF(AND('Mapa final'!#REF!="Muy Alta",'Mapa final'!#REF!="Leve"),CONCATENATE("R7C",'Mapa final'!#REF!),"")</f>
        <v>#REF!</v>
      </c>
      <c r="N12" s="58" t="e">
        <f>IF(AND('Mapa final'!#REF!="Muy Alta",'Mapa final'!#REF!="Leve"),CONCATENATE("R7C",'Mapa final'!#REF!),"")</f>
        <v>#REF!</v>
      </c>
      <c r="O12" s="54" t="e">
        <f>IF(AND('Mapa final'!#REF!="Muy Alta",'Mapa final'!#REF!="Leve"),CONCATENATE("R7C",'Mapa final'!#REF!),"")</f>
        <v>#REF!</v>
      </c>
      <c r="P12" s="52" t="str">
        <f>IF(AND('Mapa final'!$Y$16="Muy Alta",'Mapa final'!$AA$16="Menor"),CONCATENATE("R7C",'Mapa final'!$O$16),"")</f>
        <v/>
      </c>
      <c r="Q12" s="53" t="e">
        <f>IF(AND('Mapa final'!#REF!="Muy Alta",'Mapa final'!#REF!="Menor"),CONCATENATE("R7C",'Mapa final'!#REF!),"")</f>
        <v>#REF!</v>
      </c>
      <c r="R12" s="58" t="e">
        <f>IF(AND('Mapa final'!#REF!="Muy Alta",'Mapa final'!#REF!="Menor"),CONCATENATE("R7C",'Mapa final'!#REF!),"")</f>
        <v>#REF!</v>
      </c>
      <c r="S12" s="58" t="e">
        <f>IF(AND('Mapa final'!#REF!="Muy Alta",'Mapa final'!#REF!="Menor"),CONCATENATE("R7C",'Mapa final'!#REF!),"")</f>
        <v>#REF!</v>
      </c>
      <c r="T12" s="58" t="e">
        <f>IF(AND('Mapa final'!#REF!="Muy Alta",'Mapa final'!#REF!="Menor"),CONCATENATE("R7C",'Mapa final'!#REF!),"")</f>
        <v>#REF!</v>
      </c>
      <c r="U12" s="54" t="e">
        <f>IF(AND('Mapa final'!#REF!="Muy Alta",'Mapa final'!#REF!="Menor"),CONCATENATE("R7C",'Mapa final'!#REF!),"")</f>
        <v>#REF!</v>
      </c>
      <c r="V12" s="52" t="str">
        <f>IF(AND('Mapa final'!$Y$16="Muy Alta",'Mapa final'!$AA$16="Moderado"),CONCATENATE("R7C",'Mapa final'!$O$16),"")</f>
        <v/>
      </c>
      <c r="W12" s="53" t="e">
        <f>IF(AND('Mapa final'!#REF!="Muy Alta",'Mapa final'!#REF!="Moderado"),CONCATENATE("R7C",'Mapa final'!#REF!),"")</f>
        <v>#REF!</v>
      </c>
      <c r="X12" s="58" t="e">
        <f>IF(AND('Mapa final'!#REF!="Muy Alta",'Mapa final'!#REF!="Moderado"),CONCATENATE("R7C",'Mapa final'!#REF!),"")</f>
        <v>#REF!</v>
      </c>
      <c r="Y12" s="58" t="e">
        <f>IF(AND('Mapa final'!#REF!="Muy Alta",'Mapa final'!#REF!="Moderado"),CONCATENATE("R7C",'Mapa final'!#REF!),"")</f>
        <v>#REF!</v>
      </c>
      <c r="Z12" s="58" t="e">
        <f>IF(AND('Mapa final'!#REF!="Muy Alta",'Mapa final'!#REF!="Moderado"),CONCATENATE("R7C",'Mapa final'!#REF!),"")</f>
        <v>#REF!</v>
      </c>
      <c r="AA12" s="54" t="e">
        <f>IF(AND('Mapa final'!#REF!="Muy Alta",'Mapa final'!#REF!="Moderado"),CONCATENATE("R7C",'Mapa final'!#REF!),"")</f>
        <v>#REF!</v>
      </c>
      <c r="AB12" s="52" t="str">
        <f>IF(AND('Mapa final'!$Y$16="Muy Alta",'Mapa final'!$AA$16="Mayor"),CONCATENATE("R7C",'Mapa final'!$O$16),"")</f>
        <v/>
      </c>
      <c r="AC12" s="53" t="e">
        <f>IF(AND('Mapa final'!#REF!="Muy Alta",'Mapa final'!#REF!="Mayor"),CONCATENATE("R7C",'Mapa final'!#REF!),"")</f>
        <v>#REF!</v>
      </c>
      <c r="AD12" s="58" t="e">
        <f>IF(AND('Mapa final'!#REF!="Muy Alta",'Mapa final'!#REF!="Mayor"),CONCATENATE("R7C",'Mapa final'!#REF!),"")</f>
        <v>#REF!</v>
      </c>
      <c r="AE12" s="58" t="e">
        <f>IF(AND('Mapa final'!#REF!="Muy Alta",'Mapa final'!#REF!="Mayor"),CONCATENATE("R7C",'Mapa final'!#REF!),"")</f>
        <v>#REF!</v>
      </c>
      <c r="AF12" s="58" t="e">
        <f>IF(AND('Mapa final'!#REF!="Muy Alta",'Mapa final'!#REF!="Mayor"),CONCATENATE("R7C",'Mapa final'!#REF!),"")</f>
        <v>#REF!</v>
      </c>
      <c r="AG12" s="54" t="e">
        <f>IF(AND('Mapa final'!#REF!="Muy Alta",'Mapa final'!#REF!="Mayor"),CONCATENATE("R7C",'Mapa final'!#REF!),"")</f>
        <v>#REF!</v>
      </c>
      <c r="AH12" s="55" t="str">
        <f>IF(AND('Mapa final'!$Y$16="Muy Alta",'Mapa final'!$AA$16="Catastrófico"),CONCATENATE("R7C",'Mapa final'!$O$16),"")</f>
        <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4"/>
      <c r="AO12" s="360"/>
      <c r="AP12" s="361"/>
      <c r="AQ12" s="361"/>
      <c r="AR12" s="361"/>
      <c r="AS12" s="361"/>
      <c r="AT12" s="36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52"/>
      <c r="C13" s="252"/>
      <c r="D13" s="253"/>
      <c r="E13" s="353"/>
      <c r="F13" s="354"/>
      <c r="G13" s="354"/>
      <c r="H13" s="354"/>
      <c r="I13" s="369"/>
      <c r="J13" s="52" t="str">
        <f>IF(AND('Mapa final'!$Y$17="Muy Alta",'Mapa final'!$AA$17="Leve"),CONCATENATE("R8C",'Mapa final'!$O$17),"")</f>
        <v/>
      </c>
      <c r="K13" s="53" t="str">
        <f>IF(AND('Mapa final'!$Y$18="Muy Alta",'Mapa final'!$AA$18="Leve"),CONCATENATE("R8C",'Mapa final'!$O$18),"")</f>
        <v/>
      </c>
      <c r="L13" s="58" t="str">
        <f>IF(AND('Mapa final'!$Y$19="Muy Alta",'Mapa final'!$AA$19="Leve"),CONCATENATE("R8C",'Mapa final'!$O$19),"")</f>
        <v/>
      </c>
      <c r="M13" s="58" t="str">
        <f>IF(AND('Mapa final'!$Y$20="Muy Alta",'Mapa final'!$AA$20="Leve"),CONCATENATE("R8C",'Mapa final'!$O$20),"")</f>
        <v/>
      </c>
      <c r="N13" s="58" t="str">
        <f>IF(AND('Mapa final'!$Y$21="Muy Alta",'Mapa final'!$AA$21="Leve"),CONCATENATE("R8C",'Mapa final'!$O$21),"")</f>
        <v/>
      </c>
      <c r="O13" s="54" t="str">
        <f>IF(AND('Mapa final'!$Y$22="Muy Alta",'Mapa final'!$AA$22="Leve"),CONCATENATE("R8C",'Mapa final'!$O$22),"")</f>
        <v/>
      </c>
      <c r="P13" s="52" t="str">
        <f>IF(AND('Mapa final'!$Y$17="Muy Alta",'Mapa final'!$AA$17="Menor"),CONCATENATE("R8C",'Mapa final'!$O$17),"")</f>
        <v/>
      </c>
      <c r="Q13" s="53" t="str">
        <f>IF(AND('Mapa final'!$Y$18="Muy Alta",'Mapa final'!$AA$18="Menor"),CONCATENATE("R8C",'Mapa final'!$O$18),"")</f>
        <v/>
      </c>
      <c r="R13" s="58" t="str">
        <f>IF(AND('Mapa final'!$Y$19="Muy Alta",'Mapa final'!$AA$19="Menor"),CONCATENATE("R8C",'Mapa final'!$O$19),"")</f>
        <v/>
      </c>
      <c r="S13" s="58" t="str">
        <f>IF(AND('Mapa final'!$Y$20="Muy Alta",'Mapa final'!$AA$20="Menor"),CONCATENATE("R8C",'Mapa final'!$O$20),"")</f>
        <v/>
      </c>
      <c r="T13" s="58" t="str">
        <f>IF(AND('Mapa final'!$Y$21="Muy Alta",'Mapa final'!$AA$21="Menor"),CONCATENATE("R8C",'Mapa final'!$O$21),"")</f>
        <v/>
      </c>
      <c r="U13" s="54" t="str">
        <f>IF(AND('Mapa final'!$Y$22="Muy Alta",'Mapa final'!$AA$22="Menor"),CONCATENATE("R8C",'Mapa final'!$O$22),"")</f>
        <v/>
      </c>
      <c r="V13" s="52" t="str">
        <f>IF(AND('Mapa final'!$Y$17="Muy Alta",'Mapa final'!$AA$17="Moderado"),CONCATENATE("R8C",'Mapa final'!$O$17),"")</f>
        <v/>
      </c>
      <c r="W13" s="53" t="str">
        <f>IF(AND('Mapa final'!$Y$18="Muy Alta",'Mapa final'!$AA$18="Moderado"),CONCATENATE("R8C",'Mapa final'!$O$18),"")</f>
        <v/>
      </c>
      <c r="X13" s="58" t="str">
        <f>IF(AND('Mapa final'!$Y$19="Muy Alta",'Mapa final'!$AA$19="Moderado"),CONCATENATE("R8C",'Mapa final'!$O$19),"")</f>
        <v/>
      </c>
      <c r="Y13" s="58" t="str">
        <f>IF(AND('Mapa final'!$Y$20="Muy Alta",'Mapa final'!$AA$20="Moderado"),CONCATENATE("R8C",'Mapa final'!$O$20),"")</f>
        <v/>
      </c>
      <c r="Z13" s="58" t="str">
        <f>IF(AND('Mapa final'!$Y$21="Muy Alta",'Mapa final'!$AA$21="Moderado"),CONCATENATE("R8C",'Mapa final'!$O$21),"")</f>
        <v/>
      </c>
      <c r="AA13" s="54" t="str">
        <f>IF(AND('Mapa final'!$Y$22="Muy Alta",'Mapa final'!$AA$22="Moderado"),CONCATENATE("R8C",'Mapa final'!$O$22),"")</f>
        <v/>
      </c>
      <c r="AB13" s="52" t="str">
        <f>IF(AND('Mapa final'!$Y$17="Muy Alta",'Mapa final'!$AA$17="Mayor"),CONCATENATE("R8C",'Mapa final'!$O$17),"")</f>
        <v/>
      </c>
      <c r="AC13" s="53" t="str">
        <f>IF(AND('Mapa final'!$Y$18="Muy Alta",'Mapa final'!$AA$18="Mayor"),CONCATENATE("R8C",'Mapa final'!$O$18),"")</f>
        <v/>
      </c>
      <c r="AD13" s="58" t="str">
        <f>IF(AND('Mapa final'!$Y$19="Muy Alta",'Mapa final'!$AA$19="Mayor"),CONCATENATE("R8C",'Mapa final'!$O$19),"")</f>
        <v/>
      </c>
      <c r="AE13" s="58" t="str">
        <f>IF(AND('Mapa final'!$Y$20="Muy Alta",'Mapa final'!$AA$20="Mayor"),CONCATENATE("R8C",'Mapa final'!$O$20),"")</f>
        <v/>
      </c>
      <c r="AF13" s="58" t="str">
        <f>IF(AND('Mapa final'!$Y$21="Muy Alta",'Mapa final'!$AA$21="Mayor"),CONCATENATE("R8C",'Mapa final'!$O$21),"")</f>
        <v/>
      </c>
      <c r="AG13" s="54" t="str">
        <f>IF(AND('Mapa final'!$Y$22="Muy Alta",'Mapa final'!$AA$22="Mayor"),CONCATENATE("R8C",'Mapa final'!$O$22),"")</f>
        <v/>
      </c>
      <c r="AH13" s="55" t="str">
        <f>IF(AND('Mapa final'!$Y$17="Muy Alta",'Mapa final'!$AA$17="Catastrófico"),CONCATENATE("R8C",'Mapa final'!$O$17),"")</f>
        <v/>
      </c>
      <c r="AI13" s="56" t="str">
        <f>IF(AND('Mapa final'!$Y$18="Muy Alta",'Mapa final'!$AA$18="Catastrófico"),CONCATENATE("R8C",'Mapa final'!$O$18),"")</f>
        <v/>
      </c>
      <c r="AJ13" s="56" t="str">
        <f>IF(AND('Mapa final'!$Y$19="Muy Alta",'Mapa final'!$AA$19="Catastrófico"),CONCATENATE("R8C",'Mapa final'!$O$19),"")</f>
        <v/>
      </c>
      <c r="AK13" s="56" t="str">
        <f>IF(AND('Mapa final'!$Y$20="Muy Alta",'Mapa final'!$AA$20="Catastrófico"),CONCATENATE("R8C",'Mapa final'!$O$20),"")</f>
        <v/>
      </c>
      <c r="AL13" s="56" t="str">
        <f>IF(AND('Mapa final'!$Y$21="Muy Alta",'Mapa final'!$AA$21="Catastrófico"),CONCATENATE("R8C",'Mapa final'!$O$21),"")</f>
        <v/>
      </c>
      <c r="AM13" s="57" t="str">
        <f>IF(AND('Mapa final'!$Y$22="Muy Alta",'Mapa final'!$AA$22="Catastrófico"),CONCATENATE("R8C",'Mapa final'!$O$22),"")</f>
        <v/>
      </c>
      <c r="AN13" s="84"/>
      <c r="AO13" s="360"/>
      <c r="AP13" s="361"/>
      <c r="AQ13" s="361"/>
      <c r="AR13" s="361"/>
      <c r="AS13" s="361"/>
      <c r="AT13" s="36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52"/>
      <c r="C14" s="252"/>
      <c r="D14" s="253"/>
      <c r="E14" s="353"/>
      <c r="F14" s="354"/>
      <c r="G14" s="354"/>
      <c r="H14" s="354"/>
      <c r="I14" s="369"/>
      <c r="J14" s="52" t="str">
        <f>IF(AND('Mapa final'!$Y$23="Muy Alta",'Mapa final'!$AA$23="Leve"),CONCATENATE("R9C",'Mapa final'!$O$23),"")</f>
        <v/>
      </c>
      <c r="K14" s="53" t="str">
        <f>IF(AND('Mapa final'!$Y$24="Muy Alta",'Mapa final'!$AA$24="Leve"),CONCATENATE("R9C",'Mapa final'!$O$24),"")</f>
        <v/>
      </c>
      <c r="L14" s="58" t="str">
        <f>IF(AND('Mapa final'!$Y$25="Muy Alta",'Mapa final'!$AA$25="Leve"),CONCATENATE("R9C",'Mapa final'!$O$25),"")</f>
        <v/>
      </c>
      <c r="M14" s="58" t="str">
        <f>IF(AND('Mapa final'!$Y$26="Muy Alta",'Mapa final'!$AA$26="Leve"),CONCATENATE("R9C",'Mapa final'!$O$26),"")</f>
        <v/>
      </c>
      <c r="N14" s="58" t="str">
        <f>IF(AND('Mapa final'!$Y$27="Muy Alta",'Mapa final'!$AA$27="Leve"),CONCATENATE("R9C",'Mapa final'!$O$27),"")</f>
        <v/>
      </c>
      <c r="O14" s="54" t="str">
        <f>IF(AND('Mapa final'!$Y$28="Muy Alta",'Mapa final'!$AA$28="Leve"),CONCATENATE("R9C",'Mapa final'!$O$28),"")</f>
        <v/>
      </c>
      <c r="P14" s="52" t="str">
        <f>IF(AND('Mapa final'!$Y$23="Muy Alta",'Mapa final'!$AA$23="Menor"),CONCATENATE("R9C",'Mapa final'!$O$23),"")</f>
        <v/>
      </c>
      <c r="Q14" s="53" t="str">
        <f>IF(AND('Mapa final'!$Y$24="Muy Alta",'Mapa final'!$AA$24="Menor"),CONCATENATE("R9C",'Mapa final'!$O$24),"")</f>
        <v/>
      </c>
      <c r="R14" s="58" t="str">
        <f>IF(AND('Mapa final'!$Y$25="Muy Alta",'Mapa final'!$AA$25="Menor"),CONCATENATE("R9C",'Mapa final'!$O$25),"")</f>
        <v/>
      </c>
      <c r="S14" s="58" t="str">
        <f>IF(AND('Mapa final'!$Y$26="Muy Alta",'Mapa final'!$AA$26="Menor"),CONCATENATE("R9C",'Mapa final'!$O$26),"")</f>
        <v/>
      </c>
      <c r="T14" s="58" t="str">
        <f>IF(AND('Mapa final'!$Y$27="Muy Alta",'Mapa final'!$AA$27="Menor"),CONCATENATE("R9C",'Mapa final'!$O$27),"")</f>
        <v/>
      </c>
      <c r="U14" s="54" t="str">
        <f>IF(AND('Mapa final'!$Y$28="Muy Alta",'Mapa final'!$AA$28="Menor"),CONCATENATE("R9C",'Mapa final'!$O$28),"")</f>
        <v/>
      </c>
      <c r="V14" s="52" t="str">
        <f>IF(AND('Mapa final'!$Y$23="Muy Alta",'Mapa final'!$AA$23="Moderado"),CONCATENATE("R9C",'Mapa final'!$O$23),"")</f>
        <v/>
      </c>
      <c r="W14" s="53" t="str">
        <f>IF(AND('Mapa final'!$Y$24="Muy Alta",'Mapa final'!$AA$24="Moderado"),CONCATENATE("R9C",'Mapa final'!$O$24),"")</f>
        <v/>
      </c>
      <c r="X14" s="58" t="str">
        <f>IF(AND('Mapa final'!$Y$25="Muy Alta",'Mapa final'!$AA$25="Moderado"),CONCATENATE("R9C",'Mapa final'!$O$25),"")</f>
        <v/>
      </c>
      <c r="Y14" s="58" t="str">
        <f>IF(AND('Mapa final'!$Y$26="Muy Alta",'Mapa final'!$AA$26="Moderado"),CONCATENATE("R9C",'Mapa final'!$O$26),"")</f>
        <v/>
      </c>
      <c r="Z14" s="58" t="str">
        <f>IF(AND('Mapa final'!$Y$27="Muy Alta",'Mapa final'!$AA$27="Moderado"),CONCATENATE("R9C",'Mapa final'!$O$27),"")</f>
        <v/>
      </c>
      <c r="AA14" s="54" t="str">
        <f>IF(AND('Mapa final'!$Y$28="Muy Alta",'Mapa final'!$AA$28="Moderado"),CONCATENATE("R9C",'Mapa final'!$O$28),"")</f>
        <v/>
      </c>
      <c r="AB14" s="52" t="str">
        <f>IF(AND('Mapa final'!$Y$23="Muy Alta",'Mapa final'!$AA$23="Mayor"),CONCATENATE("R9C",'Mapa final'!$O$23),"")</f>
        <v/>
      </c>
      <c r="AC14" s="53" t="str">
        <f>IF(AND('Mapa final'!$Y$24="Muy Alta",'Mapa final'!$AA$24="Mayor"),CONCATENATE("R9C",'Mapa final'!$O$24),"")</f>
        <v/>
      </c>
      <c r="AD14" s="58" t="str">
        <f>IF(AND('Mapa final'!$Y$25="Muy Alta",'Mapa final'!$AA$25="Mayor"),CONCATENATE("R9C",'Mapa final'!$O$25),"")</f>
        <v/>
      </c>
      <c r="AE14" s="58" t="str">
        <f>IF(AND('Mapa final'!$Y$26="Muy Alta",'Mapa final'!$AA$26="Mayor"),CONCATENATE("R9C",'Mapa final'!$O$26),"")</f>
        <v/>
      </c>
      <c r="AF14" s="58" t="str">
        <f>IF(AND('Mapa final'!$Y$27="Muy Alta",'Mapa final'!$AA$27="Mayor"),CONCATENATE("R9C",'Mapa final'!$O$27),"")</f>
        <v/>
      </c>
      <c r="AG14" s="54" t="str">
        <f>IF(AND('Mapa final'!$Y$28="Muy Alta",'Mapa final'!$AA$28="Mayor"),CONCATENATE("R9C",'Mapa final'!$O$28),"")</f>
        <v/>
      </c>
      <c r="AH14" s="55" t="str">
        <f>IF(AND('Mapa final'!$Y$23="Muy Alta",'Mapa final'!$AA$23="Catastrófico"),CONCATENATE("R9C",'Mapa final'!$O$23),"")</f>
        <v/>
      </c>
      <c r="AI14" s="56" t="str">
        <f>IF(AND('Mapa final'!$Y$24="Muy Alta",'Mapa final'!$AA$24="Catastrófico"),CONCATENATE("R9C",'Mapa final'!$O$24),"")</f>
        <v/>
      </c>
      <c r="AJ14" s="56" t="str">
        <f>IF(AND('Mapa final'!$Y$25="Muy Alta",'Mapa final'!$AA$25="Catastrófico"),CONCATENATE("R9C",'Mapa final'!$O$25),"")</f>
        <v/>
      </c>
      <c r="AK14" s="56" t="str">
        <f>IF(AND('Mapa final'!$Y$26="Muy Alta",'Mapa final'!$AA$26="Catastrófico"),CONCATENATE("R9C",'Mapa final'!$O$26),"")</f>
        <v/>
      </c>
      <c r="AL14" s="56" t="str">
        <f>IF(AND('Mapa final'!$Y$27="Muy Alta",'Mapa final'!$AA$27="Catastrófico"),CONCATENATE("R9C",'Mapa final'!$O$27),"")</f>
        <v/>
      </c>
      <c r="AM14" s="57" t="str">
        <f>IF(AND('Mapa final'!$Y$28="Muy Alta",'Mapa final'!$AA$28="Catastrófico"),CONCATENATE("R9C",'Mapa final'!$O$28),"")</f>
        <v/>
      </c>
      <c r="AN14" s="84"/>
      <c r="AO14" s="360"/>
      <c r="AP14" s="361"/>
      <c r="AQ14" s="361"/>
      <c r="AR14" s="361"/>
      <c r="AS14" s="361"/>
      <c r="AT14" s="36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52"/>
      <c r="C15" s="252"/>
      <c r="D15" s="253"/>
      <c r="E15" s="355"/>
      <c r="F15" s="356"/>
      <c r="G15" s="356"/>
      <c r="H15" s="356"/>
      <c r="I15" s="370"/>
      <c r="J15" s="59" t="str">
        <f>IF(AND('Mapa final'!$Y$29="Muy Alta",'Mapa final'!$AA$29="Leve"),CONCATENATE("R10C",'Mapa final'!$O$29),"")</f>
        <v/>
      </c>
      <c r="K15" s="60" t="str">
        <f>IF(AND('Mapa final'!$Y$30="Muy Alta",'Mapa final'!$AA$30="Leve"),CONCATENATE("R10C",'Mapa final'!$O$30),"")</f>
        <v/>
      </c>
      <c r="L15" s="60" t="str">
        <f>IF(AND('Mapa final'!$Y$31="Muy Alta",'Mapa final'!$AA$31="Leve"),CONCATENATE("R10C",'Mapa final'!$O$31),"")</f>
        <v/>
      </c>
      <c r="M15" s="60" t="str">
        <f>IF(AND('Mapa final'!$Y$32="Muy Alta",'Mapa final'!$AA$32="Leve"),CONCATENATE("R10C",'Mapa final'!$O$32),"")</f>
        <v/>
      </c>
      <c r="N15" s="60" t="str">
        <f>IF(AND('Mapa final'!$Y$33="Muy Alta",'Mapa final'!$AA$33="Leve"),CONCATENATE("R10C",'Mapa final'!$O$33),"")</f>
        <v/>
      </c>
      <c r="O15" s="61" t="str">
        <f>IF(AND('Mapa final'!$Y$34="Muy Alta",'Mapa final'!$AA$34="Leve"),CONCATENATE("R10C",'Mapa final'!$O$34),"")</f>
        <v/>
      </c>
      <c r="P15" s="52" t="str">
        <f>IF(AND('Mapa final'!$Y$29="Muy Alta",'Mapa final'!$AA$29="Menor"),CONCATENATE("R10C",'Mapa final'!$O$29),"")</f>
        <v/>
      </c>
      <c r="Q15" s="53" t="str">
        <f>IF(AND('Mapa final'!$Y$30="Muy Alta",'Mapa final'!$AA$30="Menor"),CONCATENATE("R10C",'Mapa final'!$O$30),"")</f>
        <v/>
      </c>
      <c r="R15" s="53" t="str">
        <f>IF(AND('Mapa final'!$Y$31="Muy Alta",'Mapa final'!$AA$31="Menor"),CONCATENATE("R10C",'Mapa final'!$O$31),"")</f>
        <v/>
      </c>
      <c r="S15" s="53" t="str">
        <f>IF(AND('Mapa final'!$Y$32="Muy Alta",'Mapa final'!$AA$32="Menor"),CONCATENATE("R10C",'Mapa final'!$O$32),"")</f>
        <v/>
      </c>
      <c r="T15" s="53" t="str">
        <f>IF(AND('Mapa final'!$Y$33="Muy Alta",'Mapa final'!$AA$33="Menor"),CONCATENATE("R10C",'Mapa final'!$O$33),"")</f>
        <v/>
      </c>
      <c r="U15" s="54" t="str">
        <f>IF(AND('Mapa final'!$Y$34="Muy Alta",'Mapa final'!$AA$34="Menor"),CONCATENATE("R10C",'Mapa final'!$O$34),"")</f>
        <v/>
      </c>
      <c r="V15" s="59" t="str">
        <f>IF(AND('Mapa final'!$Y$29="Muy Alta",'Mapa final'!$AA$29="Moderado"),CONCATENATE("R10C",'Mapa final'!$O$29),"")</f>
        <v/>
      </c>
      <c r="W15" s="60" t="str">
        <f>IF(AND('Mapa final'!$Y$30="Muy Alta",'Mapa final'!$AA$30="Moderado"),CONCATENATE("R10C",'Mapa final'!$O$30),"")</f>
        <v/>
      </c>
      <c r="X15" s="60" t="str">
        <f>IF(AND('Mapa final'!$Y$31="Muy Alta",'Mapa final'!$AA$31="Moderado"),CONCATENATE("R10C",'Mapa final'!$O$31),"")</f>
        <v/>
      </c>
      <c r="Y15" s="60" t="str">
        <f>IF(AND('Mapa final'!$Y$32="Muy Alta",'Mapa final'!$AA$32="Moderado"),CONCATENATE("R10C",'Mapa final'!$O$32),"")</f>
        <v/>
      </c>
      <c r="Z15" s="60" t="str">
        <f>IF(AND('Mapa final'!$Y$33="Muy Alta",'Mapa final'!$AA$33="Moderado"),CONCATENATE("R10C",'Mapa final'!$O$33),"")</f>
        <v/>
      </c>
      <c r="AA15" s="61" t="str">
        <f>IF(AND('Mapa final'!$Y$34="Muy Alta",'Mapa final'!$AA$34="Moderado"),CONCATENATE("R10C",'Mapa final'!$O$34),"")</f>
        <v/>
      </c>
      <c r="AB15" s="52" t="str">
        <f>IF(AND('Mapa final'!$Y$29="Muy Alta",'Mapa final'!$AA$29="Mayor"),CONCATENATE("R10C",'Mapa final'!$O$29),"")</f>
        <v/>
      </c>
      <c r="AC15" s="53" t="str">
        <f>IF(AND('Mapa final'!$Y$30="Muy Alta",'Mapa final'!$AA$30="Mayor"),CONCATENATE("R10C",'Mapa final'!$O$30),"")</f>
        <v/>
      </c>
      <c r="AD15" s="53" t="str">
        <f>IF(AND('Mapa final'!$Y$31="Muy Alta",'Mapa final'!$AA$31="Mayor"),CONCATENATE("R10C",'Mapa final'!$O$31),"")</f>
        <v/>
      </c>
      <c r="AE15" s="53" t="str">
        <f>IF(AND('Mapa final'!$Y$32="Muy Alta",'Mapa final'!$AA$32="Mayor"),CONCATENATE("R10C",'Mapa final'!$O$32),"")</f>
        <v/>
      </c>
      <c r="AF15" s="53" t="str">
        <f>IF(AND('Mapa final'!$Y$33="Muy Alta",'Mapa final'!$AA$33="Mayor"),CONCATENATE("R10C",'Mapa final'!$O$33),"")</f>
        <v/>
      </c>
      <c r="AG15" s="54" t="str">
        <f>IF(AND('Mapa final'!$Y$34="Muy Alta",'Mapa final'!$AA$34="Mayor"),CONCATENATE("R10C",'Mapa final'!$O$34),"")</f>
        <v/>
      </c>
      <c r="AH15" s="62" t="str">
        <f>IF(AND('Mapa final'!$Y$29="Muy Alta",'Mapa final'!$AA$29="Catastrófico"),CONCATENATE("R10C",'Mapa final'!$O$29),"")</f>
        <v/>
      </c>
      <c r="AI15" s="63" t="str">
        <f>IF(AND('Mapa final'!$Y$30="Muy Alta",'Mapa final'!$AA$30="Catastrófico"),CONCATENATE("R10C",'Mapa final'!$O$30),"")</f>
        <v/>
      </c>
      <c r="AJ15" s="63" t="str">
        <f>IF(AND('Mapa final'!$Y$31="Muy Alta",'Mapa final'!$AA$31="Catastrófico"),CONCATENATE("R10C",'Mapa final'!$O$31),"")</f>
        <v/>
      </c>
      <c r="AK15" s="63" t="str">
        <f>IF(AND('Mapa final'!$Y$32="Muy Alta",'Mapa final'!$AA$32="Catastrófico"),CONCATENATE("R10C",'Mapa final'!$O$32),"")</f>
        <v/>
      </c>
      <c r="AL15" s="63" t="str">
        <f>IF(AND('Mapa final'!$Y$33="Muy Alta",'Mapa final'!$AA$33="Catastrófico"),CONCATENATE("R10C",'Mapa final'!$O$33),"")</f>
        <v/>
      </c>
      <c r="AM15" s="64" t="str">
        <f>IF(AND('Mapa final'!$Y$34="Muy Alta",'Mapa final'!$AA$34="Catastrófico"),CONCATENATE("R10C",'Mapa final'!$O$34),"")</f>
        <v/>
      </c>
      <c r="AN15" s="84"/>
      <c r="AO15" s="363"/>
      <c r="AP15" s="364"/>
      <c r="AQ15" s="364"/>
      <c r="AR15" s="364"/>
      <c r="AS15" s="364"/>
      <c r="AT15" s="36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52"/>
      <c r="C16" s="252"/>
      <c r="D16" s="253"/>
      <c r="E16" s="349" t="s">
        <v>115</v>
      </c>
      <c r="F16" s="350"/>
      <c r="G16" s="350"/>
      <c r="H16" s="350"/>
      <c r="I16" s="350"/>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40" t="s">
        <v>80</v>
      </c>
      <c r="AP16" s="341"/>
      <c r="AQ16" s="341"/>
      <c r="AR16" s="341"/>
      <c r="AS16" s="341"/>
      <c r="AT16" s="34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52"/>
      <c r="C17" s="252"/>
      <c r="D17" s="253"/>
      <c r="E17" s="351"/>
      <c r="F17" s="352"/>
      <c r="G17" s="352"/>
      <c r="H17" s="352"/>
      <c r="I17" s="352"/>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43"/>
      <c r="AP17" s="344"/>
      <c r="AQ17" s="344"/>
      <c r="AR17" s="344"/>
      <c r="AS17" s="344"/>
      <c r="AT17" s="34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52"/>
      <c r="C18" s="252"/>
      <c r="D18" s="253"/>
      <c r="E18" s="353"/>
      <c r="F18" s="354"/>
      <c r="G18" s="354"/>
      <c r="H18" s="354"/>
      <c r="I18" s="352"/>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43"/>
      <c r="AP18" s="344"/>
      <c r="AQ18" s="344"/>
      <c r="AR18" s="344"/>
      <c r="AS18" s="344"/>
      <c r="AT18" s="34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52"/>
      <c r="C19" s="252"/>
      <c r="D19" s="253"/>
      <c r="E19" s="353"/>
      <c r="F19" s="354"/>
      <c r="G19" s="354"/>
      <c r="H19" s="354"/>
      <c r="I19" s="352"/>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R4C1</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43"/>
      <c r="AP19" s="344"/>
      <c r="AQ19" s="344"/>
      <c r="AR19" s="344"/>
      <c r="AS19" s="344"/>
      <c r="AT19" s="34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52"/>
      <c r="C20" s="252"/>
      <c r="D20" s="253"/>
      <c r="E20" s="353"/>
      <c r="F20" s="354"/>
      <c r="G20" s="354"/>
      <c r="H20" s="354"/>
      <c r="I20" s="352"/>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R5C1</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43"/>
      <c r="AP20" s="344"/>
      <c r="AQ20" s="344"/>
      <c r="AR20" s="344"/>
      <c r="AS20" s="344"/>
      <c r="AT20" s="34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52"/>
      <c r="C21" s="252"/>
      <c r="D21" s="253"/>
      <c r="E21" s="353"/>
      <c r="F21" s="354"/>
      <c r="G21" s="354"/>
      <c r="H21" s="354"/>
      <c r="I21" s="352"/>
      <c r="J21" s="68" t="str">
        <f>IF(AND('Mapa final'!$Y$15="Alta",'Mapa final'!$AA$15="Leve"),CONCATENATE("R6C",'Mapa final'!$O$15),"")</f>
        <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str">
        <f>IF(AND('Mapa final'!$Y$15="Alta",'Mapa final'!$AA$15="Menor"),CONCATENATE("R6C",'Mapa final'!$O$15),"")</f>
        <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43"/>
      <c r="AP21" s="344"/>
      <c r="AQ21" s="344"/>
      <c r="AR21" s="344"/>
      <c r="AS21" s="344"/>
      <c r="AT21" s="34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52"/>
      <c r="C22" s="252"/>
      <c r="D22" s="253"/>
      <c r="E22" s="353"/>
      <c r="F22" s="354"/>
      <c r="G22" s="354"/>
      <c r="H22" s="354"/>
      <c r="I22" s="352"/>
      <c r="J22" s="68" t="str">
        <f>IF(AND('Mapa final'!$Y$16="Alta",'Mapa final'!$AA$16="Leve"),CONCATENATE("R7C",'Mapa final'!$O$16),"")</f>
        <v/>
      </c>
      <c r="K22" s="69" t="e">
        <f>IF(AND('Mapa final'!#REF!="Alta",'Mapa final'!#REF!="Leve"),CONCATENATE("R7C",'Mapa final'!#REF!),"")</f>
        <v>#REF!</v>
      </c>
      <c r="L22" s="69" t="e">
        <f>IF(AND('Mapa final'!#REF!="Alta",'Mapa final'!#REF!="Leve"),CONCATENATE("R7C",'Mapa final'!#REF!),"")</f>
        <v>#REF!</v>
      </c>
      <c r="M22" s="69" t="e">
        <f>IF(AND('Mapa final'!#REF!="Alta",'Mapa final'!#REF!="Leve"),CONCATENATE("R7C",'Mapa final'!#REF!),"")</f>
        <v>#REF!</v>
      </c>
      <c r="N22" s="69" t="e">
        <f>IF(AND('Mapa final'!#REF!="Alta",'Mapa final'!#REF!="Leve"),CONCATENATE("R7C",'Mapa final'!#REF!),"")</f>
        <v>#REF!</v>
      </c>
      <c r="O22" s="70" t="e">
        <f>IF(AND('Mapa final'!#REF!="Alta",'Mapa final'!#REF!="Leve"),CONCATENATE("R7C",'Mapa final'!#REF!),"")</f>
        <v>#REF!</v>
      </c>
      <c r="P22" s="68" t="str">
        <f>IF(AND('Mapa final'!$Y$16="Alta",'Mapa final'!$AA$16="Menor"),CONCATENATE("R7C",'Mapa final'!$O$16),"")</f>
        <v/>
      </c>
      <c r="Q22" s="69" t="e">
        <f>IF(AND('Mapa final'!#REF!="Alta",'Mapa final'!#REF!="Menor"),CONCATENATE("R7C",'Mapa final'!#REF!),"")</f>
        <v>#REF!</v>
      </c>
      <c r="R22" s="69" t="e">
        <f>IF(AND('Mapa final'!#REF!="Alta",'Mapa final'!#REF!="Menor"),CONCATENATE("R7C",'Mapa final'!#REF!),"")</f>
        <v>#REF!</v>
      </c>
      <c r="S22" s="69" t="e">
        <f>IF(AND('Mapa final'!#REF!="Alta",'Mapa final'!#REF!="Menor"),CONCATENATE("R7C",'Mapa final'!#REF!),"")</f>
        <v>#REF!</v>
      </c>
      <c r="T22" s="69" t="e">
        <f>IF(AND('Mapa final'!#REF!="Alta",'Mapa final'!#REF!="Menor"),CONCATENATE("R7C",'Mapa final'!#REF!),"")</f>
        <v>#REF!</v>
      </c>
      <c r="U22" s="70" t="e">
        <f>IF(AND('Mapa final'!#REF!="Alta",'Mapa final'!#REF!="Menor"),CONCATENATE("R7C",'Mapa final'!#REF!),"")</f>
        <v>#REF!</v>
      </c>
      <c r="V22" s="52" t="str">
        <f>IF(AND('Mapa final'!$Y$16="Alta",'Mapa final'!$AA$16="Moderado"),CONCATENATE("R7C",'Mapa final'!$O$16),"")</f>
        <v/>
      </c>
      <c r="W22" s="53" t="e">
        <f>IF(AND('Mapa final'!#REF!="Alta",'Mapa final'!#REF!="Moderado"),CONCATENATE("R7C",'Mapa final'!#REF!),"")</f>
        <v>#REF!</v>
      </c>
      <c r="X22" s="58" t="e">
        <f>IF(AND('Mapa final'!#REF!="Alta",'Mapa final'!#REF!="Moderado"),CONCATENATE("R7C",'Mapa final'!#REF!),"")</f>
        <v>#REF!</v>
      </c>
      <c r="Y22" s="58" t="e">
        <f>IF(AND('Mapa final'!#REF!="Alta",'Mapa final'!#REF!="Moderado"),CONCATENATE("R7C",'Mapa final'!#REF!),"")</f>
        <v>#REF!</v>
      </c>
      <c r="Z22" s="58" t="e">
        <f>IF(AND('Mapa final'!#REF!="Alta",'Mapa final'!#REF!="Moderado"),CONCATENATE("R7C",'Mapa final'!#REF!),"")</f>
        <v>#REF!</v>
      </c>
      <c r="AA22" s="54" t="e">
        <f>IF(AND('Mapa final'!#REF!="Alta",'Mapa final'!#REF!="Moderado"),CONCATENATE("R7C",'Mapa final'!#REF!),"")</f>
        <v>#REF!</v>
      </c>
      <c r="AB22" s="52" t="str">
        <f>IF(AND('Mapa final'!$Y$16="Alta",'Mapa final'!$AA$16="Mayor"),CONCATENATE("R7C",'Mapa final'!$O$16),"")</f>
        <v/>
      </c>
      <c r="AC22" s="53" t="e">
        <f>IF(AND('Mapa final'!#REF!="Alta",'Mapa final'!#REF!="Mayor"),CONCATENATE("R7C",'Mapa final'!#REF!),"")</f>
        <v>#REF!</v>
      </c>
      <c r="AD22" s="58" t="e">
        <f>IF(AND('Mapa final'!#REF!="Alta",'Mapa final'!#REF!="Mayor"),CONCATENATE("R7C",'Mapa final'!#REF!),"")</f>
        <v>#REF!</v>
      </c>
      <c r="AE22" s="58" t="e">
        <f>IF(AND('Mapa final'!#REF!="Alta",'Mapa final'!#REF!="Mayor"),CONCATENATE("R7C",'Mapa final'!#REF!),"")</f>
        <v>#REF!</v>
      </c>
      <c r="AF22" s="58" t="e">
        <f>IF(AND('Mapa final'!#REF!="Alta",'Mapa final'!#REF!="Mayor"),CONCATENATE("R7C",'Mapa final'!#REF!),"")</f>
        <v>#REF!</v>
      </c>
      <c r="AG22" s="54" t="e">
        <f>IF(AND('Mapa final'!#REF!="Alta",'Mapa final'!#REF!="Mayor"),CONCATENATE("R7C",'Mapa final'!#REF!),"")</f>
        <v>#REF!</v>
      </c>
      <c r="AH22" s="55" t="str">
        <f>IF(AND('Mapa final'!$Y$16="Alta",'Mapa final'!$AA$16="Catastrófico"),CONCATENATE("R7C",'Mapa final'!$O$16),"")</f>
        <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4"/>
      <c r="AO22" s="343"/>
      <c r="AP22" s="344"/>
      <c r="AQ22" s="344"/>
      <c r="AR22" s="344"/>
      <c r="AS22" s="344"/>
      <c r="AT22" s="34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52"/>
      <c r="C23" s="252"/>
      <c r="D23" s="253"/>
      <c r="E23" s="353"/>
      <c r="F23" s="354"/>
      <c r="G23" s="354"/>
      <c r="H23" s="354"/>
      <c r="I23" s="352"/>
      <c r="J23" s="68" t="str">
        <f>IF(AND('Mapa final'!$Y$17="Alta",'Mapa final'!$AA$17="Leve"),CONCATENATE("R8C",'Mapa final'!$O$17),"")</f>
        <v/>
      </c>
      <c r="K23" s="69" t="str">
        <f>IF(AND('Mapa final'!$Y$18="Alta",'Mapa final'!$AA$18="Leve"),CONCATENATE("R8C",'Mapa final'!$O$18),"")</f>
        <v/>
      </c>
      <c r="L23" s="69" t="str">
        <f>IF(AND('Mapa final'!$Y$19="Alta",'Mapa final'!$AA$19="Leve"),CONCATENATE("R8C",'Mapa final'!$O$19),"")</f>
        <v/>
      </c>
      <c r="M23" s="69" t="str">
        <f>IF(AND('Mapa final'!$Y$20="Alta",'Mapa final'!$AA$20="Leve"),CONCATENATE("R8C",'Mapa final'!$O$20),"")</f>
        <v/>
      </c>
      <c r="N23" s="69" t="str">
        <f>IF(AND('Mapa final'!$Y$21="Alta",'Mapa final'!$AA$21="Leve"),CONCATENATE("R8C",'Mapa final'!$O$21),"")</f>
        <v/>
      </c>
      <c r="O23" s="70" t="str">
        <f>IF(AND('Mapa final'!$Y$22="Alta",'Mapa final'!$AA$22="Leve"),CONCATENATE("R8C",'Mapa final'!$O$22),"")</f>
        <v/>
      </c>
      <c r="P23" s="68" t="str">
        <f>IF(AND('Mapa final'!$Y$17="Alta",'Mapa final'!$AA$17="Menor"),CONCATENATE("R8C",'Mapa final'!$O$17),"")</f>
        <v/>
      </c>
      <c r="Q23" s="69" t="str">
        <f>IF(AND('Mapa final'!$Y$18="Alta",'Mapa final'!$AA$18="Menor"),CONCATENATE("R8C",'Mapa final'!$O$18),"")</f>
        <v/>
      </c>
      <c r="R23" s="69" t="str">
        <f>IF(AND('Mapa final'!$Y$19="Alta",'Mapa final'!$AA$19="Menor"),CONCATENATE("R8C",'Mapa final'!$O$19),"")</f>
        <v/>
      </c>
      <c r="S23" s="69" t="str">
        <f>IF(AND('Mapa final'!$Y$20="Alta",'Mapa final'!$AA$20="Menor"),CONCATENATE("R8C",'Mapa final'!$O$20),"")</f>
        <v/>
      </c>
      <c r="T23" s="69" t="str">
        <f>IF(AND('Mapa final'!$Y$21="Alta",'Mapa final'!$AA$21="Menor"),CONCATENATE("R8C",'Mapa final'!$O$21),"")</f>
        <v/>
      </c>
      <c r="U23" s="70" t="str">
        <f>IF(AND('Mapa final'!$Y$22="Alta",'Mapa final'!$AA$22="Menor"),CONCATENATE("R8C",'Mapa final'!$O$22),"")</f>
        <v/>
      </c>
      <c r="V23" s="52" t="str">
        <f>IF(AND('Mapa final'!$Y$17="Alta",'Mapa final'!$AA$17="Moderado"),CONCATENATE("R8C",'Mapa final'!$O$17),"")</f>
        <v/>
      </c>
      <c r="W23" s="53" t="str">
        <f>IF(AND('Mapa final'!$Y$18="Alta",'Mapa final'!$AA$18="Moderado"),CONCATENATE("R8C",'Mapa final'!$O$18),"")</f>
        <v/>
      </c>
      <c r="X23" s="58" t="str">
        <f>IF(AND('Mapa final'!$Y$19="Alta",'Mapa final'!$AA$19="Moderado"),CONCATENATE("R8C",'Mapa final'!$O$19),"")</f>
        <v/>
      </c>
      <c r="Y23" s="58" t="str">
        <f>IF(AND('Mapa final'!$Y$20="Alta",'Mapa final'!$AA$20="Moderado"),CONCATENATE("R8C",'Mapa final'!$O$20),"")</f>
        <v/>
      </c>
      <c r="Z23" s="58" t="str">
        <f>IF(AND('Mapa final'!$Y$21="Alta",'Mapa final'!$AA$21="Moderado"),CONCATENATE("R8C",'Mapa final'!$O$21),"")</f>
        <v/>
      </c>
      <c r="AA23" s="54" t="str">
        <f>IF(AND('Mapa final'!$Y$22="Alta",'Mapa final'!$AA$22="Moderado"),CONCATENATE("R8C",'Mapa final'!$O$22),"")</f>
        <v/>
      </c>
      <c r="AB23" s="52" t="str">
        <f>IF(AND('Mapa final'!$Y$17="Alta",'Mapa final'!$AA$17="Mayor"),CONCATENATE("R8C",'Mapa final'!$O$17),"")</f>
        <v/>
      </c>
      <c r="AC23" s="53" t="str">
        <f>IF(AND('Mapa final'!$Y$18="Alta",'Mapa final'!$AA$18="Mayor"),CONCATENATE("R8C",'Mapa final'!$O$18),"")</f>
        <v/>
      </c>
      <c r="AD23" s="58" t="str">
        <f>IF(AND('Mapa final'!$Y$19="Alta",'Mapa final'!$AA$19="Mayor"),CONCATENATE("R8C",'Mapa final'!$O$19),"")</f>
        <v/>
      </c>
      <c r="AE23" s="58" t="str">
        <f>IF(AND('Mapa final'!$Y$20="Alta",'Mapa final'!$AA$20="Mayor"),CONCATENATE("R8C",'Mapa final'!$O$20),"")</f>
        <v/>
      </c>
      <c r="AF23" s="58" t="str">
        <f>IF(AND('Mapa final'!$Y$21="Alta",'Mapa final'!$AA$21="Mayor"),CONCATENATE("R8C",'Mapa final'!$O$21),"")</f>
        <v/>
      </c>
      <c r="AG23" s="54" t="str">
        <f>IF(AND('Mapa final'!$Y$22="Alta",'Mapa final'!$AA$22="Mayor"),CONCATENATE("R8C",'Mapa final'!$O$22),"")</f>
        <v/>
      </c>
      <c r="AH23" s="55" t="str">
        <f>IF(AND('Mapa final'!$Y$17="Alta",'Mapa final'!$AA$17="Catastrófico"),CONCATENATE("R8C",'Mapa final'!$O$17),"")</f>
        <v/>
      </c>
      <c r="AI23" s="56" t="str">
        <f>IF(AND('Mapa final'!$Y$18="Alta",'Mapa final'!$AA$18="Catastrófico"),CONCATENATE("R8C",'Mapa final'!$O$18),"")</f>
        <v/>
      </c>
      <c r="AJ23" s="56" t="str">
        <f>IF(AND('Mapa final'!$Y$19="Alta",'Mapa final'!$AA$19="Catastrófico"),CONCATENATE("R8C",'Mapa final'!$O$19),"")</f>
        <v/>
      </c>
      <c r="AK23" s="56" t="str">
        <f>IF(AND('Mapa final'!$Y$20="Alta",'Mapa final'!$AA$20="Catastrófico"),CONCATENATE("R8C",'Mapa final'!$O$20),"")</f>
        <v/>
      </c>
      <c r="AL23" s="56" t="str">
        <f>IF(AND('Mapa final'!$Y$21="Alta",'Mapa final'!$AA$21="Catastrófico"),CONCATENATE("R8C",'Mapa final'!$O$21),"")</f>
        <v/>
      </c>
      <c r="AM23" s="57" t="str">
        <f>IF(AND('Mapa final'!$Y$22="Alta",'Mapa final'!$AA$22="Catastrófico"),CONCATENATE("R8C",'Mapa final'!$O$22),"")</f>
        <v/>
      </c>
      <c r="AN23" s="84"/>
      <c r="AO23" s="343"/>
      <c r="AP23" s="344"/>
      <c r="AQ23" s="344"/>
      <c r="AR23" s="344"/>
      <c r="AS23" s="344"/>
      <c r="AT23" s="34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52"/>
      <c r="C24" s="252"/>
      <c r="D24" s="253"/>
      <c r="E24" s="353"/>
      <c r="F24" s="354"/>
      <c r="G24" s="354"/>
      <c r="H24" s="354"/>
      <c r="I24" s="352"/>
      <c r="J24" s="68" t="str">
        <f>IF(AND('Mapa final'!$Y$23="Alta",'Mapa final'!$AA$23="Leve"),CONCATENATE("R9C",'Mapa final'!$O$23),"")</f>
        <v/>
      </c>
      <c r="K24" s="69" t="str">
        <f>IF(AND('Mapa final'!$Y$24="Alta",'Mapa final'!$AA$24="Leve"),CONCATENATE("R9C",'Mapa final'!$O$24),"")</f>
        <v/>
      </c>
      <c r="L24" s="69" t="str">
        <f>IF(AND('Mapa final'!$Y$25="Alta",'Mapa final'!$AA$25="Leve"),CONCATENATE("R9C",'Mapa final'!$O$25),"")</f>
        <v/>
      </c>
      <c r="M24" s="69" t="str">
        <f>IF(AND('Mapa final'!$Y$26="Alta",'Mapa final'!$AA$26="Leve"),CONCATENATE("R9C",'Mapa final'!$O$26),"")</f>
        <v/>
      </c>
      <c r="N24" s="69" t="str">
        <f>IF(AND('Mapa final'!$Y$27="Alta",'Mapa final'!$AA$27="Leve"),CONCATENATE("R9C",'Mapa final'!$O$27),"")</f>
        <v/>
      </c>
      <c r="O24" s="70" t="str">
        <f>IF(AND('Mapa final'!$Y$28="Alta",'Mapa final'!$AA$28="Leve"),CONCATENATE("R9C",'Mapa final'!$O$28),"")</f>
        <v/>
      </c>
      <c r="P24" s="68" t="str">
        <f>IF(AND('Mapa final'!$Y$23="Alta",'Mapa final'!$AA$23="Menor"),CONCATENATE("R9C",'Mapa final'!$O$23),"")</f>
        <v/>
      </c>
      <c r="Q24" s="69" t="str">
        <f>IF(AND('Mapa final'!$Y$24="Alta",'Mapa final'!$AA$24="Menor"),CONCATENATE("R9C",'Mapa final'!$O$24),"")</f>
        <v/>
      </c>
      <c r="R24" s="69" t="str">
        <f>IF(AND('Mapa final'!$Y$25="Alta",'Mapa final'!$AA$25="Menor"),CONCATENATE("R9C",'Mapa final'!$O$25),"")</f>
        <v/>
      </c>
      <c r="S24" s="69" t="str">
        <f>IF(AND('Mapa final'!$Y$26="Alta",'Mapa final'!$AA$26="Menor"),CONCATENATE("R9C",'Mapa final'!$O$26),"")</f>
        <v/>
      </c>
      <c r="T24" s="69" t="str">
        <f>IF(AND('Mapa final'!$Y$27="Alta",'Mapa final'!$AA$27="Menor"),CONCATENATE("R9C",'Mapa final'!$O$27),"")</f>
        <v/>
      </c>
      <c r="U24" s="70" t="str">
        <f>IF(AND('Mapa final'!$Y$28="Alta",'Mapa final'!$AA$28="Menor"),CONCATENATE("R9C",'Mapa final'!$O$28),"")</f>
        <v/>
      </c>
      <c r="V24" s="52" t="str">
        <f>IF(AND('Mapa final'!$Y$23="Alta",'Mapa final'!$AA$23="Moderado"),CONCATENATE("R9C",'Mapa final'!$O$23),"")</f>
        <v/>
      </c>
      <c r="W24" s="53" t="str">
        <f>IF(AND('Mapa final'!$Y$24="Alta",'Mapa final'!$AA$24="Moderado"),CONCATENATE("R9C",'Mapa final'!$O$24),"")</f>
        <v/>
      </c>
      <c r="X24" s="58" t="str">
        <f>IF(AND('Mapa final'!$Y$25="Alta",'Mapa final'!$AA$25="Moderado"),CONCATENATE("R9C",'Mapa final'!$O$25),"")</f>
        <v/>
      </c>
      <c r="Y24" s="58" t="str">
        <f>IF(AND('Mapa final'!$Y$26="Alta",'Mapa final'!$AA$26="Moderado"),CONCATENATE("R9C",'Mapa final'!$O$26),"")</f>
        <v/>
      </c>
      <c r="Z24" s="58" t="str">
        <f>IF(AND('Mapa final'!$Y$27="Alta",'Mapa final'!$AA$27="Moderado"),CONCATENATE("R9C",'Mapa final'!$O$27),"")</f>
        <v/>
      </c>
      <c r="AA24" s="54" t="str">
        <f>IF(AND('Mapa final'!$Y$28="Alta",'Mapa final'!$AA$28="Moderado"),CONCATENATE("R9C",'Mapa final'!$O$28),"")</f>
        <v/>
      </c>
      <c r="AB24" s="52" t="str">
        <f>IF(AND('Mapa final'!$Y$23="Alta",'Mapa final'!$AA$23="Mayor"),CONCATENATE("R9C",'Mapa final'!$O$23),"")</f>
        <v/>
      </c>
      <c r="AC24" s="53" t="str">
        <f>IF(AND('Mapa final'!$Y$24="Alta",'Mapa final'!$AA$24="Mayor"),CONCATENATE("R9C",'Mapa final'!$O$24),"")</f>
        <v/>
      </c>
      <c r="AD24" s="58" t="str">
        <f>IF(AND('Mapa final'!$Y$25="Alta",'Mapa final'!$AA$25="Mayor"),CONCATENATE("R9C",'Mapa final'!$O$25),"")</f>
        <v/>
      </c>
      <c r="AE24" s="58" t="str">
        <f>IF(AND('Mapa final'!$Y$26="Alta",'Mapa final'!$AA$26="Mayor"),CONCATENATE("R9C",'Mapa final'!$O$26),"")</f>
        <v/>
      </c>
      <c r="AF24" s="58" t="str">
        <f>IF(AND('Mapa final'!$Y$27="Alta",'Mapa final'!$AA$27="Mayor"),CONCATENATE("R9C",'Mapa final'!$O$27),"")</f>
        <v/>
      </c>
      <c r="AG24" s="54" t="str">
        <f>IF(AND('Mapa final'!$Y$28="Alta",'Mapa final'!$AA$28="Mayor"),CONCATENATE("R9C",'Mapa final'!$O$28),"")</f>
        <v/>
      </c>
      <c r="AH24" s="55" t="str">
        <f>IF(AND('Mapa final'!$Y$23="Alta",'Mapa final'!$AA$23="Catastrófico"),CONCATENATE("R9C",'Mapa final'!$O$23),"")</f>
        <v/>
      </c>
      <c r="AI24" s="56" t="str">
        <f>IF(AND('Mapa final'!$Y$24="Alta",'Mapa final'!$AA$24="Catastrófico"),CONCATENATE("R9C",'Mapa final'!$O$24),"")</f>
        <v/>
      </c>
      <c r="AJ24" s="56" t="str">
        <f>IF(AND('Mapa final'!$Y$25="Alta",'Mapa final'!$AA$25="Catastrófico"),CONCATENATE("R9C",'Mapa final'!$O$25),"")</f>
        <v/>
      </c>
      <c r="AK24" s="56" t="str">
        <f>IF(AND('Mapa final'!$Y$26="Alta",'Mapa final'!$AA$26="Catastrófico"),CONCATENATE("R9C",'Mapa final'!$O$26),"")</f>
        <v/>
      </c>
      <c r="AL24" s="56" t="str">
        <f>IF(AND('Mapa final'!$Y$27="Alta",'Mapa final'!$AA$27="Catastrófico"),CONCATENATE("R9C",'Mapa final'!$O$27),"")</f>
        <v/>
      </c>
      <c r="AM24" s="57" t="str">
        <f>IF(AND('Mapa final'!$Y$28="Alta",'Mapa final'!$AA$28="Catastrófico"),CONCATENATE("R9C",'Mapa final'!$O$28),"")</f>
        <v/>
      </c>
      <c r="AN24" s="84"/>
      <c r="AO24" s="343"/>
      <c r="AP24" s="344"/>
      <c r="AQ24" s="344"/>
      <c r="AR24" s="344"/>
      <c r="AS24" s="344"/>
      <c r="AT24" s="34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52"/>
      <c r="C25" s="252"/>
      <c r="D25" s="253"/>
      <c r="E25" s="355"/>
      <c r="F25" s="356"/>
      <c r="G25" s="356"/>
      <c r="H25" s="356"/>
      <c r="I25" s="356"/>
      <c r="J25" s="71" t="str">
        <f>IF(AND('Mapa final'!$Y$29="Alta",'Mapa final'!$AA$29="Leve"),CONCATENATE("R10C",'Mapa final'!$O$29),"")</f>
        <v/>
      </c>
      <c r="K25" s="72" t="str">
        <f>IF(AND('Mapa final'!$Y$30="Alta",'Mapa final'!$AA$30="Leve"),CONCATENATE("R10C",'Mapa final'!$O$30),"")</f>
        <v/>
      </c>
      <c r="L25" s="72" t="str">
        <f>IF(AND('Mapa final'!$Y$31="Alta",'Mapa final'!$AA$31="Leve"),CONCATENATE("R10C",'Mapa final'!$O$31),"")</f>
        <v/>
      </c>
      <c r="M25" s="72" t="str">
        <f>IF(AND('Mapa final'!$Y$32="Alta",'Mapa final'!$AA$32="Leve"),CONCATENATE("R10C",'Mapa final'!$O$32),"")</f>
        <v/>
      </c>
      <c r="N25" s="72" t="str">
        <f>IF(AND('Mapa final'!$Y$33="Alta",'Mapa final'!$AA$33="Leve"),CONCATENATE("R10C",'Mapa final'!$O$33),"")</f>
        <v/>
      </c>
      <c r="O25" s="73" t="str">
        <f>IF(AND('Mapa final'!$Y$34="Alta",'Mapa final'!$AA$34="Leve"),CONCATENATE("R10C",'Mapa final'!$O$34),"")</f>
        <v/>
      </c>
      <c r="P25" s="71" t="str">
        <f>IF(AND('Mapa final'!$Y$29="Alta",'Mapa final'!$AA$29="Menor"),CONCATENATE("R10C",'Mapa final'!$O$29),"")</f>
        <v/>
      </c>
      <c r="Q25" s="72" t="str">
        <f>IF(AND('Mapa final'!$Y$30="Alta",'Mapa final'!$AA$30="Menor"),CONCATENATE("R10C",'Mapa final'!$O$30),"")</f>
        <v/>
      </c>
      <c r="R25" s="72" t="str">
        <f>IF(AND('Mapa final'!$Y$31="Alta",'Mapa final'!$AA$31="Menor"),CONCATENATE("R10C",'Mapa final'!$O$31),"")</f>
        <v/>
      </c>
      <c r="S25" s="72" t="str">
        <f>IF(AND('Mapa final'!$Y$32="Alta",'Mapa final'!$AA$32="Menor"),CONCATENATE("R10C",'Mapa final'!$O$32),"")</f>
        <v/>
      </c>
      <c r="T25" s="72" t="str">
        <f>IF(AND('Mapa final'!$Y$33="Alta",'Mapa final'!$AA$33="Menor"),CONCATENATE("R10C",'Mapa final'!$O$33),"")</f>
        <v/>
      </c>
      <c r="U25" s="73" t="str">
        <f>IF(AND('Mapa final'!$Y$34="Alta",'Mapa final'!$AA$34="Menor"),CONCATENATE("R10C",'Mapa final'!$O$34),"")</f>
        <v/>
      </c>
      <c r="V25" s="59" t="str">
        <f>IF(AND('Mapa final'!$Y$29="Alta",'Mapa final'!$AA$29="Moderado"),CONCATENATE("R10C",'Mapa final'!$O$29),"")</f>
        <v/>
      </c>
      <c r="W25" s="60" t="str">
        <f>IF(AND('Mapa final'!$Y$30="Alta",'Mapa final'!$AA$30="Moderado"),CONCATENATE("R10C",'Mapa final'!$O$30),"")</f>
        <v/>
      </c>
      <c r="X25" s="60" t="str">
        <f>IF(AND('Mapa final'!$Y$31="Alta",'Mapa final'!$AA$31="Moderado"),CONCATENATE("R10C",'Mapa final'!$O$31),"")</f>
        <v/>
      </c>
      <c r="Y25" s="60" t="str">
        <f>IF(AND('Mapa final'!$Y$32="Alta",'Mapa final'!$AA$32="Moderado"),CONCATENATE("R10C",'Mapa final'!$O$32),"")</f>
        <v/>
      </c>
      <c r="Z25" s="60" t="str">
        <f>IF(AND('Mapa final'!$Y$33="Alta",'Mapa final'!$AA$33="Moderado"),CONCATENATE("R10C",'Mapa final'!$O$33),"")</f>
        <v/>
      </c>
      <c r="AA25" s="61" t="str">
        <f>IF(AND('Mapa final'!$Y$34="Alta",'Mapa final'!$AA$34="Moderado"),CONCATENATE("R10C",'Mapa final'!$O$34),"")</f>
        <v/>
      </c>
      <c r="AB25" s="59" t="str">
        <f>IF(AND('Mapa final'!$Y$29="Alta",'Mapa final'!$AA$29="Mayor"),CONCATENATE("R10C",'Mapa final'!$O$29),"")</f>
        <v/>
      </c>
      <c r="AC25" s="60" t="str">
        <f>IF(AND('Mapa final'!$Y$30="Alta",'Mapa final'!$AA$30="Mayor"),CONCATENATE("R10C",'Mapa final'!$O$30),"")</f>
        <v/>
      </c>
      <c r="AD25" s="60" t="str">
        <f>IF(AND('Mapa final'!$Y$31="Alta",'Mapa final'!$AA$31="Mayor"),CONCATENATE("R10C",'Mapa final'!$O$31),"")</f>
        <v/>
      </c>
      <c r="AE25" s="60" t="str">
        <f>IF(AND('Mapa final'!$Y$32="Alta",'Mapa final'!$AA$32="Mayor"),CONCATENATE("R10C",'Mapa final'!$O$32),"")</f>
        <v/>
      </c>
      <c r="AF25" s="60" t="str">
        <f>IF(AND('Mapa final'!$Y$33="Alta",'Mapa final'!$AA$33="Mayor"),CONCATENATE("R10C",'Mapa final'!$O$33),"")</f>
        <v/>
      </c>
      <c r="AG25" s="61" t="str">
        <f>IF(AND('Mapa final'!$Y$34="Alta",'Mapa final'!$AA$34="Mayor"),CONCATENATE("R10C",'Mapa final'!$O$34),"")</f>
        <v/>
      </c>
      <c r="AH25" s="62" t="str">
        <f>IF(AND('Mapa final'!$Y$29="Alta",'Mapa final'!$AA$29="Catastrófico"),CONCATENATE("R10C",'Mapa final'!$O$29),"")</f>
        <v/>
      </c>
      <c r="AI25" s="63" t="str">
        <f>IF(AND('Mapa final'!$Y$30="Alta",'Mapa final'!$AA$30="Catastrófico"),CONCATENATE("R10C",'Mapa final'!$O$30),"")</f>
        <v/>
      </c>
      <c r="AJ25" s="63" t="str">
        <f>IF(AND('Mapa final'!$Y$31="Alta",'Mapa final'!$AA$31="Catastrófico"),CONCATENATE("R10C",'Mapa final'!$O$31),"")</f>
        <v/>
      </c>
      <c r="AK25" s="63" t="str">
        <f>IF(AND('Mapa final'!$Y$32="Alta",'Mapa final'!$AA$32="Catastrófico"),CONCATENATE("R10C",'Mapa final'!$O$32),"")</f>
        <v/>
      </c>
      <c r="AL25" s="63" t="str">
        <f>IF(AND('Mapa final'!$Y$33="Alta",'Mapa final'!$AA$33="Catastrófico"),CONCATENATE("R10C",'Mapa final'!$O$33),"")</f>
        <v/>
      </c>
      <c r="AM25" s="64" t="str">
        <f>IF(AND('Mapa final'!$Y$34="Alta",'Mapa final'!$AA$34="Catastrófico"),CONCATENATE("R10C",'Mapa final'!$O$34),"")</f>
        <v/>
      </c>
      <c r="AN25" s="84"/>
      <c r="AO25" s="346"/>
      <c r="AP25" s="347"/>
      <c r="AQ25" s="347"/>
      <c r="AR25" s="347"/>
      <c r="AS25" s="347"/>
      <c r="AT25" s="34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52"/>
      <c r="C26" s="252"/>
      <c r="D26" s="253"/>
      <c r="E26" s="349" t="s">
        <v>117</v>
      </c>
      <c r="F26" s="350"/>
      <c r="G26" s="350"/>
      <c r="H26" s="350"/>
      <c r="I26" s="368"/>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R1C1</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0" t="s">
        <v>81</v>
      </c>
      <c r="AP26" s="381"/>
      <c r="AQ26" s="381"/>
      <c r="AR26" s="381"/>
      <c r="AS26" s="381"/>
      <c r="AT26" s="382"/>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52"/>
      <c r="C27" s="252"/>
      <c r="D27" s="253"/>
      <c r="E27" s="351"/>
      <c r="F27" s="352"/>
      <c r="G27" s="352"/>
      <c r="H27" s="352"/>
      <c r="I27" s="369"/>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3"/>
      <c r="AP27" s="384"/>
      <c r="AQ27" s="384"/>
      <c r="AR27" s="384"/>
      <c r="AS27" s="384"/>
      <c r="AT27" s="38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52"/>
      <c r="C28" s="252"/>
      <c r="D28" s="253"/>
      <c r="E28" s="353"/>
      <c r="F28" s="354"/>
      <c r="G28" s="354"/>
      <c r="H28" s="354"/>
      <c r="I28" s="369"/>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R3C1</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3"/>
      <c r="AP28" s="384"/>
      <c r="AQ28" s="384"/>
      <c r="AR28" s="384"/>
      <c r="AS28" s="384"/>
      <c r="AT28" s="38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52"/>
      <c r="C29" s="252"/>
      <c r="D29" s="253"/>
      <c r="E29" s="353"/>
      <c r="F29" s="354"/>
      <c r="G29" s="354"/>
      <c r="H29" s="354"/>
      <c r="I29" s="369"/>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83"/>
      <c r="AP29" s="384"/>
      <c r="AQ29" s="384"/>
      <c r="AR29" s="384"/>
      <c r="AS29" s="384"/>
      <c r="AT29" s="385"/>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52"/>
      <c r="C30" s="252"/>
      <c r="D30" s="253"/>
      <c r="E30" s="353"/>
      <c r="F30" s="354"/>
      <c r="G30" s="354"/>
      <c r="H30" s="354"/>
      <c r="I30" s="369"/>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83"/>
      <c r="AP30" s="384"/>
      <c r="AQ30" s="384"/>
      <c r="AR30" s="384"/>
      <c r="AS30" s="384"/>
      <c r="AT30" s="385"/>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52"/>
      <c r="C31" s="252"/>
      <c r="D31" s="253"/>
      <c r="E31" s="353"/>
      <c r="F31" s="354"/>
      <c r="G31" s="354"/>
      <c r="H31" s="354"/>
      <c r="I31" s="369"/>
      <c r="J31" s="68" t="str">
        <f>IF(AND('Mapa final'!$Y$15="Media",'Mapa final'!$AA$15="Leve"),CONCATENATE("R6C",'Mapa final'!$O$15),"")</f>
        <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str">
        <f>IF(AND('Mapa final'!$Y$15="Media",'Mapa final'!$AA$15="Menor"),CONCATENATE("R6C",'Mapa final'!$O$15),"")</f>
        <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str">
        <f>IF(AND('Mapa final'!$Y$15="Media",'Mapa final'!$AA$15="Moderado"),CONCATENATE("R6C",'Mapa final'!$O$15),"")</f>
        <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83"/>
      <c r="AP31" s="384"/>
      <c r="AQ31" s="384"/>
      <c r="AR31" s="384"/>
      <c r="AS31" s="384"/>
      <c r="AT31" s="38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52"/>
      <c r="C32" s="252"/>
      <c r="D32" s="253"/>
      <c r="E32" s="353"/>
      <c r="F32" s="354"/>
      <c r="G32" s="354"/>
      <c r="H32" s="354"/>
      <c r="I32" s="369"/>
      <c r="J32" s="68" t="str">
        <f>IF(AND('Mapa final'!$Y$16="Media",'Mapa final'!$AA$16="Leve"),CONCATENATE("R7C",'Mapa final'!$O$16),"")</f>
        <v/>
      </c>
      <c r="K32" s="69" t="e">
        <f>IF(AND('Mapa final'!#REF!="Media",'Mapa final'!#REF!="Leve"),CONCATENATE("R7C",'Mapa final'!#REF!),"")</f>
        <v>#REF!</v>
      </c>
      <c r="L32" s="69" t="e">
        <f>IF(AND('Mapa final'!#REF!="Media",'Mapa final'!#REF!="Leve"),CONCATENATE("R7C",'Mapa final'!#REF!),"")</f>
        <v>#REF!</v>
      </c>
      <c r="M32" s="69" t="e">
        <f>IF(AND('Mapa final'!#REF!="Media",'Mapa final'!#REF!="Leve"),CONCATENATE("R7C",'Mapa final'!#REF!),"")</f>
        <v>#REF!</v>
      </c>
      <c r="N32" s="69" t="e">
        <f>IF(AND('Mapa final'!#REF!="Media",'Mapa final'!#REF!="Leve"),CONCATENATE("R7C",'Mapa final'!#REF!),"")</f>
        <v>#REF!</v>
      </c>
      <c r="O32" s="70" t="e">
        <f>IF(AND('Mapa final'!#REF!="Media",'Mapa final'!#REF!="Leve"),CONCATENATE("R7C",'Mapa final'!#REF!),"")</f>
        <v>#REF!</v>
      </c>
      <c r="P32" s="68" t="str">
        <f>IF(AND('Mapa final'!$Y$16="Media",'Mapa final'!$AA$16="Menor"),CONCATENATE("R7C",'Mapa final'!$O$16),"")</f>
        <v/>
      </c>
      <c r="Q32" s="69" t="e">
        <f>IF(AND('Mapa final'!#REF!="Media",'Mapa final'!#REF!="Menor"),CONCATENATE("R7C",'Mapa final'!#REF!),"")</f>
        <v>#REF!</v>
      </c>
      <c r="R32" s="69" t="e">
        <f>IF(AND('Mapa final'!#REF!="Media",'Mapa final'!#REF!="Menor"),CONCATENATE("R7C",'Mapa final'!#REF!),"")</f>
        <v>#REF!</v>
      </c>
      <c r="S32" s="69" t="e">
        <f>IF(AND('Mapa final'!#REF!="Media",'Mapa final'!#REF!="Menor"),CONCATENATE("R7C",'Mapa final'!#REF!),"")</f>
        <v>#REF!</v>
      </c>
      <c r="T32" s="69" t="e">
        <f>IF(AND('Mapa final'!#REF!="Media",'Mapa final'!#REF!="Menor"),CONCATENATE("R7C",'Mapa final'!#REF!),"")</f>
        <v>#REF!</v>
      </c>
      <c r="U32" s="70" t="e">
        <f>IF(AND('Mapa final'!#REF!="Media",'Mapa final'!#REF!="Menor"),CONCATENATE("R7C",'Mapa final'!#REF!),"")</f>
        <v>#REF!</v>
      </c>
      <c r="V32" s="68" t="str">
        <f>IF(AND('Mapa final'!$Y$16="Media",'Mapa final'!$AA$16="Moderado"),CONCATENATE("R7C",'Mapa final'!$O$16),"")</f>
        <v>R7C1</v>
      </c>
      <c r="W32" s="69" t="e">
        <f>IF(AND('Mapa final'!#REF!="Media",'Mapa final'!#REF!="Moderado"),CONCATENATE("R7C",'Mapa final'!#REF!),"")</f>
        <v>#REF!</v>
      </c>
      <c r="X32" s="69" t="e">
        <f>IF(AND('Mapa final'!#REF!="Media",'Mapa final'!#REF!="Moderado"),CONCATENATE("R7C",'Mapa final'!#REF!),"")</f>
        <v>#REF!</v>
      </c>
      <c r="Y32" s="69" t="e">
        <f>IF(AND('Mapa final'!#REF!="Media",'Mapa final'!#REF!="Moderado"),CONCATENATE("R7C",'Mapa final'!#REF!),"")</f>
        <v>#REF!</v>
      </c>
      <c r="Z32" s="69" t="e">
        <f>IF(AND('Mapa final'!#REF!="Media",'Mapa final'!#REF!="Moderado"),CONCATENATE("R7C",'Mapa final'!#REF!),"")</f>
        <v>#REF!</v>
      </c>
      <c r="AA32" s="70" t="e">
        <f>IF(AND('Mapa final'!#REF!="Media",'Mapa final'!#REF!="Moderado"),CONCATENATE("R7C",'Mapa final'!#REF!),"")</f>
        <v>#REF!</v>
      </c>
      <c r="AB32" s="52" t="str">
        <f>IF(AND('Mapa final'!$Y$16="Media",'Mapa final'!$AA$16="Mayor"),CONCATENATE("R7C",'Mapa final'!$O$16),"")</f>
        <v/>
      </c>
      <c r="AC32" s="53" t="e">
        <f>IF(AND('Mapa final'!#REF!="Media",'Mapa final'!#REF!="Mayor"),CONCATENATE("R7C",'Mapa final'!#REF!),"")</f>
        <v>#REF!</v>
      </c>
      <c r="AD32" s="58" t="e">
        <f>IF(AND('Mapa final'!#REF!="Media",'Mapa final'!#REF!="Mayor"),CONCATENATE("R7C",'Mapa final'!#REF!),"")</f>
        <v>#REF!</v>
      </c>
      <c r="AE32" s="58" t="e">
        <f>IF(AND('Mapa final'!#REF!="Media",'Mapa final'!#REF!="Mayor"),CONCATENATE("R7C",'Mapa final'!#REF!),"")</f>
        <v>#REF!</v>
      </c>
      <c r="AF32" s="58" t="e">
        <f>IF(AND('Mapa final'!#REF!="Media",'Mapa final'!#REF!="Mayor"),CONCATENATE("R7C",'Mapa final'!#REF!),"")</f>
        <v>#REF!</v>
      </c>
      <c r="AG32" s="54" t="e">
        <f>IF(AND('Mapa final'!#REF!="Media",'Mapa final'!#REF!="Mayor"),CONCATENATE("R7C",'Mapa final'!#REF!),"")</f>
        <v>#REF!</v>
      </c>
      <c r="AH32" s="55" t="str">
        <f>IF(AND('Mapa final'!$Y$16="Media",'Mapa final'!$AA$16="Catastrófico"),CONCATENATE("R7C",'Mapa final'!$O$16),"")</f>
        <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4"/>
      <c r="AO32" s="383"/>
      <c r="AP32" s="384"/>
      <c r="AQ32" s="384"/>
      <c r="AR32" s="384"/>
      <c r="AS32" s="384"/>
      <c r="AT32" s="38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52"/>
      <c r="C33" s="252"/>
      <c r="D33" s="253"/>
      <c r="E33" s="353"/>
      <c r="F33" s="354"/>
      <c r="G33" s="354"/>
      <c r="H33" s="354"/>
      <c r="I33" s="369"/>
      <c r="J33" s="68" t="str">
        <f>IF(AND('Mapa final'!$Y$17="Media",'Mapa final'!$AA$17="Leve"),CONCATENATE("R8C",'Mapa final'!$O$17),"")</f>
        <v/>
      </c>
      <c r="K33" s="69" t="str">
        <f>IF(AND('Mapa final'!$Y$18="Media",'Mapa final'!$AA$18="Leve"),CONCATENATE("R8C",'Mapa final'!$O$18),"")</f>
        <v/>
      </c>
      <c r="L33" s="69" t="str">
        <f>IF(AND('Mapa final'!$Y$19="Media",'Mapa final'!$AA$19="Leve"),CONCATENATE("R8C",'Mapa final'!$O$19),"")</f>
        <v/>
      </c>
      <c r="M33" s="69" t="str">
        <f>IF(AND('Mapa final'!$Y$20="Media",'Mapa final'!$AA$20="Leve"),CONCATENATE("R8C",'Mapa final'!$O$20),"")</f>
        <v/>
      </c>
      <c r="N33" s="69" t="str">
        <f>IF(AND('Mapa final'!$Y$21="Media",'Mapa final'!$AA$21="Leve"),CONCATENATE("R8C",'Mapa final'!$O$21),"")</f>
        <v/>
      </c>
      <c r="O33" s="70" t="str">
        <f>IF(AND('Mapa final'!$Y$22="Media",'Mapa final'!$AA$22="Leve"),CONCATENATE("R8C",'Mapa final'!$O$22),"")</f>
        <v/>
      </c>
      <c r="P33" s="68" t="str">
        <f>IF(AND('Mapa final'!$Y$17="Media",'Mapa final'!$AA$17="Menor"),CONCATENATE("R8C",'Mapa final'!$O$17),"")</f>
        <v/>
      </c>
      <c r="Q33" s="69" t="str">
        <f>IF(AND('Mapa final'!$Y$18="Media",'Mapa final'!$AA$18="Menor"),CONCATENATE("R8C",'Mapa final'!$O$18),"")</f>
        <v/>
      </c>
      <c r="R33" s="69" t="str">
        <f>IF(AND('Mapa final'!$Y$19="Media",'Mapa final'!$AA$19="Menor"),CONCATENATE("R8C",'Mapa final'!$O$19),"")</f>
        <v/>
      </c>
      <c r="S33" s="69" t="str">
        <f>IF(AND('Mapa final'!$Y$20="Media",'Mapa final'!$AA$20="Menor"),CONCATENATE("R8C",'Mapa final'!$O$20),"")</f>
        <v/>
      </c>
      <c r="T33" s="69" t="str">
        <f>IF(AND('Mapa final'!$Y$21="Media",'Mapa final'!$AA$21="Menor"),CONCATENATE("R8C",'Mapa final'!$O$21),"")</f>
        <v/>
      </c>
      <c r="U33" s="70" t="str">
        <f>IF(AND('Mapa final'!$Y$22="Media",'Mapa final'!$AA$22="Menor"),CONCATENATE("R8C",'Mapa final'!$O$22),"")</f>
        <v/>
      </c>
      <c r="V33" s="68" t="str">
        <f>IF(AND('Mapa final'!$Y$17="Media",'Mapa final'!$AA$17="Moderado"),CONCATENATE("R8C",'Mapa final'!$O$17),"")</f>
        <v/>
      </c>
      <c r="W33" s="69" t="str">
        <f>IF(AND('Mapa final'!$Y$18="Media",'Mapa final'!$AA$18="Moderado"),CONCATENATE("R8C",'Mapa final'!$O$18),"")</f>
        <v/>
      </c>
      <c r="X33" s="69" t="str">
        <f>IF(AND('Mapa final'!$Y$19="Media",'Mapa final'!$AA$19="Moderado"),CONCATENATE("R8C",'Mapa final'!$O$19),"")</f>
        <v/>
      </c>
      <c r="Y33" s="69" t="str">
        <f>IF(AND('Mapa final'!$Y$20="Media",'Mapa final'!$AA$20="Moderado"),CONCATENATE("R8C",'Mapa final'!$O$20),"")</f>
        <v/>
      </c>
      <c r="Z33" s="69" t="str">
        <f>IF(AND('Mapa final'!$Y$21="Media",'Mapa final'!$AA$21="Moderado"),CONCATENATE("R8C",'Mapa final'!$O$21),"")</f>
        <v/>
      </c>
      <c r="AA33" s="70" t="str">
        <f>IF(AND('Mapa final'!$Y$22="Media",'Mapa final'!$AA$22="Moderado"),CONCATENATE("R8C",'Mapa final'!$O$22),"")</f>
        <v/>
      </c>
      <c r="AB33" s="52" t="str">
        <f>IF(AND('Mapa final'!$Y$17="Media",'Mapa final'!$AA$17="Mayor"),CONCATENATE("R8C",'Mapa final'!$O$17),"")</f>
        <v/>
      </c>
      <c r="AC33" s="53" t="str">
        <f>IF(AND('Mapa final'!$Y$18="Media",'Mapa final'!$AA$18="Mayor"),CONCATENATE("R8C",'Mapa final'!$O$18),"")</f>
        <v/>
      </c>
      <c r="AD33" s="58" t="str">
        <f>IF(AND('Mapa final'!$Y$19="Media",'Mapa final'!$AA$19="Mayor"),CONCATENATE("R8C",'Mapa final'!$O$19),"")</f>
        <v/>
      </c>
      <c r="AE33" s="58" t="str">
        <f>IF(AND('Mapa final'!$Y$20="Media",'Mapa final'!$AA$20="Mayor"),CONCATENATE("R8C",'Mapa final'!$O$20),"")</f>
        <v/>
      </c>
      <c r="AF33" s="58" t="str">
        <f>IF(AND('Mapa final'!$Y$21="Media",'Mapa final'!$AA$21="Mayor"),CONCATENATE("R8C",'Mapa final'!$O$21),"")</f>
        <v/>
      </c>
      <c r="AG33" s="54" t="str">
        <f>IF(AND('Mapa final'!$Y$22="Media",'Mapa final'!$AA$22="Mayor"),CONCATENATE("R8C",'Mapa final'!$O$22),"")</f>
        <v/>
      </c>
      <c r="AH33" s="55" t="str">
        <f>IF(AND('Mapa final'!$Y$17="Media",'Mapa final'!$AA$17="Catastrófico"),CONCATENATE("R8C",'Mapa final'!$O$17),"")</f>
        <v/>
      </c>
      <c r="AI33" s="56" t="str">
        <f>IF(AND('Mapa final'!$Y$18="Media",'Mapa final'!$AA$18="Catastrófico"),CONCATENATE("R8C",'Mapa final'!$O$18),"")</f>
        <v/>
      </c>
      <c r="AJ33" s="56" t="str">
        <f>IF(AND('Mapa final'!$Y$19="Media",'Mapa final'!$AA$19="Catastrófico"),CONCATENATE("R8C",'Mapa final'!$O$19),"")</f>
        <v/>
      </c>
      <c r="AK33" s="56" t="str">
        <f>IF(AND('Mapa final'!$Y$20="Media",'Mapa final'!$AA$20="Catastrófico"),CONCATENATE("R8C",'Mapa final'!$O$20),"")</f>
        <v/>
      </c>
      <c r="AL33" s="56" t="str">
        <f>IF(AND('Mapa final'!$Y$21="Media",'Mapa final'!$AA$21="Catastrófico"),CONCATENATE("R8C",'Mapa final'!$O$21),"")</f>
        <v/>
      </c>
      <c r="AM33" s="57" t="str">
        <f>IF(AND('Mapa final'!$Y$22="Media",'Mapa final'!$AA$22="Catastrófico"),CONCATENATE("R8C",'Mapa final'!$O$22),"")</f>
        <v/>
      </c>
      <c r="AN33" s="84"/>
      <c r="AO33" s="383"/>
      <c r="AP33" s="384"/>
      <c r="AQ33" s="384"/>
      <c r="AR33" s="384"/>
      <c r="AS33" s="384"/>
      <c r="AT33" s="38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52"/>
      <c r="C34" s="252"/>
      <c r="D34" s="253"/>
      <c r="E34" s="353"/>
      <c r="F34" s="354"/>
      <c r="G34" s="354"/>
      <c r="H34" s="354"/>
      <c r="I34" s="369"/>
      <c r="J34" s="68" t="str">
        <f>IF(AND('Mapa final'!$Y$23="Media",'Mapa final'!$AA$23="Leve"),CONCATENATE("R9C",'Mapa final'!$O$23),"")</f>
        <v/>
      </c>
      <c r="K34" s="69" t="str">
        <f>IF(AND('Mapa final'!$Y$24="Media",'Mapa final'!$AA$24="Leve"),CONCATENATE("R9C",'Mapa final'!$O$24),"")</f>
        <v/>
      </c>
      <c r="L34" s="69" t="str">
        <f>IF(AND('Mapa final'!$Y$25="Media",'Mapa final'!$AA$25="Leve"),CONCATENATE("R9C",'Mapa final'!$O$25),"")</f>
        <v/>
      </c>
      <c r="M34" s="69" t="str">
        <f>IF(AND('Mapa final'!$Y$26="Media",'Mapa final'!$AA$26="Leve"),CONCATENATE("R9C",'Mapa final'!$O$26),"")</f>
        <v/>
      </c>
      <c r="N34" s="69" t="str">
        <f>IF(AND('Mapa final'!$Y$27="Media",'Mapa final'!$AA$27="Leve"),CONCATENATE("R9C",'Mapa final'!$O$27),"")</f>
        <v/>
      </c>
      <c r="O34" s="70" t="str">
        <f>IF(AND('Mapa final'!$Y$28="Media",'Mapa final'!$AA$28="Leve"),CONCATENATE("R9C",'Mapa final'!$O$28),"")</f>
        <v/>
      </c>
      <c r="P34" s="68" t="str">
        <f>IF(AND('Mapa final'!$Y$23="Media",'Mapa final'!$AA$23="Menor"),CONCATENATE("R9C",'Mapa final'!$O$23),"")</f>
        <v/>
      </c>
      <c r="Q34" s="69" t="str">
        <f>IF(AND('Mapa final'!$Y$24="Media",'Mapa final'!$AA$24="Menor"),CONCATENATE("R9C",'Mapa final'!$O$24),"")</f>
        <v/>
      </c>
      <c r="R34" s="69" t="str">
        <f>IF(AND('Mapa final'!$Y$25="Media",'Mapa final'!$AA$25="Menor"),CONCATENATE("R9C",'Mapa final'!$O$25),"")</f>
        <v/>
      </c>
      <c r="S34" s="69" t="str">
        <f>IF(AND('Mapa final'!$Y$26="Media",'Mapa final'!$AA$26="Menor"),CONCATENATE("R9C",'Mapa final'!$O$26),"")</f>
        <v/>
      </c>
      <c r="T34" s="69" t="str">
        <f>IF(AND('Mapa final'!$Y$27="Media",'Mapa final'!$AA$27="Menor"),CONCATENATE("R9C",'Mapa final'!$O$27),"")</f>
        <v/>
      </c>
      <c r="U34" s="70" t="str">
        <f>IF(AND('Mapa final'!$Y$28="Media",'Mapa final'!$AA$28="Menor"),CONCATENATE("R9C",'Mapa final'!$O$28),"")</f>
        <v/>
      </c>
      <c r="V34" s="68" t="str">
        <f>IF(AND('Mapa final'!$Y$23="Media",'Mapa final'!$AA$23="Moderado"),CONCATENATE("R9C",'Mapa final'!$O$23),"")</f>
        <v/>
      </c>
      <c r="W34" s="69" t="str">
        <f>IF(AND('Mapa final'!$Y$24="Media",'Mapa final'!$AA$24="Moderado"),CONCATENATE("R9C",'Mapa final'!$O$24),"")</f>
        <v/>
      </c>
      <c r="X34" s="69" t="str">
        <f>IF(AND('Mapa final'!$Y$25="Media",'Mapa final'!$AA$25="Moderado"),CONCATENATE("R9C",'Mapa final'!$O$25),"")</f>
        <v/>
      </c>
      <c r="Y34" s="69" t="str">
        <f>IF(AND('Mapa final'!$Y$26="Media",'Mapa final'!$AA$26="Moderado"),CONCATENATE("R9C",'Mapa final'!$O$26),"")</f>
        <v/>
      </c>
      <c r="Z34" s="69" t="str">
        <f>IF(AND('Mapa final'!$Y$27="Media",'Mapa final'!$AA$27="Moderado"),CONCATENATE("R9C",'Mapa final'!$O$27),"")</f>
        <v/>
      </c>
      <c r="AA34" s="70" t="str">
        <f>IF(AND('Mapa final'!$Y$28="Media",'Mapa final'!$AA$28="Moderado"),CONCATENATE("R9C",'Mapa final'!$O$28),"")</f>
        <v/>
      </c>
      <c r="AB34" s="52" t="str">
        <f>IF(AND('Mapa final'!$Y$23="Media",'Mapa final'!$AA$23="Mayor"),CONCATENATE("R9C",'Mapa final'!$O$23),"")</f>
        <v/>
      </c>
      <c r="AC34" s="53" t="str">
        <f>IF(AND('Mapa final'!$Y$24="Media",'Mapa final'!$AA$24="Mayor"),CONCATENATE("R9C",'Mapa final'!$O$24),"")</f>
        <v/>
      </c>
      <c r="AD34" s="58" t="str">
        <f>IF(AND('Mapa final'!$Y$25="Media",'Mapa final'!$AA$25="Mayor"),CONCATENATE("R9C",'Mapa final'!$O$25),"")</f>
        <v/>
      </c>
      <c r="AE34" s="58" t="str">
        <f>IF(AND('Mapa final'!$Y$26="Media",'Mapa final'!$AA$26="Mayor"),CONCATENATE("R9C",'Mapa final'!$O$26),"")</f>
        <v/>
      </c>
      <c r="AF34" s="58" t="str">
        <f>IF(AND('Mapa final'!$Y$27="Media",'Mapa final'!$AA$27="Mayor"),CONCATENATE("R9C",'Mapa final'!$O$27),"")</f>
        <v/>
      </c>
      <c r="AG34" s="54" t="str">
        <f>IF(AND('Mapa final'!$Y$28="Media",'Mapa final'!$AA$28="Mayor"),CONCATENATE("R9C",'Mapa final'!$O$28),"")</f>
        <v/>
      </c>
      <c r="AH34" s="55" t="str">
        <f>IF(AND('Mapa final'!$Y$23="Media",'Mapa final'!$AA$23="Catastrófico"),CONCATENATE("R9C",'Mapa final'!$O$23),"")</f>
        <v/>
      </c>
      <c r="AI34" s="56" t="str">
        <f>IF(AND('Mapa final'!$Y$24="Media",'Mapa final'!$AA$24="Catastrófico"),CONCATENATE("R9C",'Mapa final'!$O$24),"")</f>
        <v/>
      </c>
      <c r="AJ34" s="56" t="str">
        <f>IF(AND('Mapa final'!$Y$25="Media",'Mapa final'!$AA$25="Catastrófico"),CONCATENATE("R9C",'Mapa final'!$O$25),"")</f>
        <v/>
      </c>
      <c r="AK34" s="56" t="str">
        <f>IF(AND('Mapa final'!$Y$26="Media",'Mapa final'!$AA$26="Catastrófico"),CONCATENATE("R9C",'Mapa final'!$O$26),"")</f>
        <v/>
      </c>
      <c r="AL34" s="56" t="str">
        <f>IF(AND('Mapa final'!$Y$27="Media",'Mapa final'!$AA$27="Catastrófico"),CONCATENATE("R9C",'Mapa final'!$O$27),"")</f>
        <v/>
      </c>
      <c r="AM34" s="57" t="str">
        <f>IF(AND('Mapa final'!$Y$28="Media",'Mapa final'!$AA$28="Catastrófico"),CONCATENATE("R9C",'Mapa final'!$O$28),"")</f>
        <v/>
      </c>
      <c r="AN34" s="84"/>
      <c r="AO34" s="383"/>
      <c r="AP34" s="384"/>
      <c r="AQ34" s="384"/>
      <c r="AR34" s="384"/>
      <c r="AS34" s="384"/>
      <c r="AT34" s="38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52"/>
      <c r="C35" s="252"/>
      <c r="D35" s="253"/>
      <c r="E35" s="355"/>
      <c r="F35" s="356"/>
      <c r="G35" s="356"/>
      <c r="H35" s="356"/>
      <c r="I35" s="370"/>
      <c r="J35" s="68" t="str">
        <f>IF(AND('Mapa final'!$Y$29="Media",'Mapa final'!$AA$29="Leve"),CONCATENATE("R10C",'Mapa final'!$O$29),"")</f>
        <v/>
      </c>
      <c r="K35" s="69" t="str">
        <f>IF(AND('Mapa final'!$Y$30="Media",'Mapa final'!$AA$30="Leve"),CONCATENATE("R10C",'Mapa final'!$O$30),"")</f>
        <v/>
      </c>
      <c r="L35" s="69" t="str">
        <f>IF(AND('Mapa final'!$Y$31="Media",'Mapa final'!$AA$31="Leve"),CONCATENATE("R10C",'Mapa final'!$O$31),"")</f>
        <v/>
      </c>
      <c r="M35" s="69" t="str">
        <f>IF(AND('Mapa final'!$Y$32="Media",'Mapa final'!$AA$32="Leve"),CONCATENATE("R10C",'Mapa final'!$O$32),"")</f>
        <v/>
      </c>
      <c r="N35" s="69" t="str">
        <f>IF(AND('Mapa final'!$Y$33="Media",'Mapa final'!$AA$33="Leve"),CONCATENATE("R10C",'Mapa final'!$O$33),"")</f>
        <v/>
      </c>
      <c r="O35" s="70" t="str">
        <f>IF(AND('Mapa final'!$Y$34="Media",'Mapa final'!$AA$34="Leve"),CONCATENATE("R10C",'Mapa final'!$O$34),"")</f>
        <v/>
      </c>
      <c r="P35" s="68" t="str">
        <f>IF(AND('Mapa final'!$Y$29="Media",'Mapa final'!$AA$29="Menor"),CONCATENATE("R10C",'Mapa final'!$O$29),"")</f>
        <v/>
      </c>
      <c r="Q35" s="69" t="str">
        <f>IF(AND('Mapa final'!$Y$30="Media",'Mapa final'!$AA$30="Menor"),CONCATENATE("R10C",'Mapa final'!$O$30),"")</f>
        <v/>
      </c>
      <c r="R35" s="69" t="str">
        <f>IF(AND('Mapa final'!$Y$31="Media",'Mapa final'!$AA$31="Menor"),CONCATENATE("R10C",'Mapa final'!$O$31),"")</f>
        <v/>
      </c>
      <c r="S35" s="69" t="str">
        <f>IF(AND('Mapa final'!$Y$32="Media",'Mapa final'!$AA$32="Menor"),CONCATENATE("R10C",'Mapa final'!$O$32),"")</f>
        <v/>
      </c>
      <c r="T35" s="69" t="str">
        <f>IF(AND('Mapa final'!$Y$33="Media",'Mapa final'!$AA$33="Menor"),CONCATENATE("R10C",'Mapa final'!$O$33),"")</f>
        <v/>
      </c>
      <c r="U35" s="70" t="str">
        <f>IF(AND('Mapa final'!$Y$34="Media",'Mapa final'!$AA$34="Menor"),CONCATENATE("R10C",'Mapa final'!$O$34),"")</f>
        <v/>
      </c>
      <c r="V35" s="68" t="str">
        <f>IF(AND('Mapa final'!$Y$29="Media",'Mapa final'!$AA$29="Moderado"),CONCATENATE("R10C",'Mapa final'!$O$29),"")</f>
        <v/>
      </c>
      <c r="W35" s="69" t="str">
        <f>IF(AND('Mapa final'!$Y$30="Media",'Mapa final'!$AA$30="Moderado"),CONCATENATE("R10C",'Mapa final'!$O$30),"")</f>
        <v/>
      </c>
      <c r="X35" s="69" t="str">
        <f>IF(AND('Mapa final'!$Y$31="Media",'Mapa final'!$AA$31="Moderado"),CONCATENATE("R10C",'Mapa final'!$O$31),"")</f>
        <v/>
      </c>
      <c r="Y35" s="69" t="str">
        <f>IF(AND('Mapa final'!$Y$32="Media",'Mapa final'!$AA$32="Moderado"),CONCATENATE("R10C",'Mapa final'!$O$32),"")</f>
        <v/>
      </c>
      <c r="Z35" s="69" t="str">
        <f>IF(AND('Mapa final'!$Y$33="Media",'Mapa final'!$AA$33="Moderado"),CONCATENATE("R10C",'Mapa final'!$O$33),"")</f>
        <v/>
      </c>
      <c r="AA35" s="70" t="str">
        <f>IF(AND('Mapa final'!$Y$34="Media",'Mapa final'!$AA$34="Moderado"),CONCATENATE("R10C",'Mapa final'!$O$34),"")</f>
        <v/>
      </c>
      <c r="AB35" s="59" t="str">
        <f>IF(AND('Mapa final'!$Y$29="Media",'Mapa final'!$AA$29="Mayor"),CONCATENATE("R10C",'Mapa final'!$O$29),"")</f>
        <v/>
      </c>
      <c r="AC35" s="60" t="str">
        <f>IF(AND('Mapa final'!$Y$30="Media",'Mapa final'!$AA$30="Mayor"),CONCATENATE("R10C",'Mapa final'!$O$30),"")</f>
        <v/>
      </c>
      <c r="AD35" s="60" t="str">
        <f>IF(AND('Mapa final'!$Y$31="Media",'Mapa final'!$AA$31="Mayor"),CONCATENATE("R10C",'Mapa final'!$O$31),"")</f>
        <v/>
      </c>
      <c r="AE35" s="60" t="str">
        <f>IF(AND('Mapa final'!$Y$32="Media",'Mapa final'!$AA$32="Mayor"),CONCATENATE("R10C",'Mapa final'!$O$32),"")</f>
        <v/>
      </c>
      <c r="AF35" s="60" t="str">
        <f>IF(AND('Mapa final'!$Y$33="Media",'Mapa final'!$AA$33="Mayor"),CONCATENATE("R10C",'Mapa final'!$O$33),"")</f>
        <v/>
      </c>
      <c r="AG35" s="61" t="str">
        <f>IF(AND('Mapa final'!$Y$34="Media",'Mapa final'!$AA$34="Mayor"),CONCATENATE("R10C",'Mapa final'!$O$34),"")</f>
        <v/>
      </c>
      <c r="AH35" s="62" t="str">
        <f>IF(AND('Mapa final'!$Y$29="Media",'Mapa final'!$AA$29="Catastrófico"),CONCATENATE("R10C",'Mapa final'!$O$29),"")</f>
        <v/>
      </c>
      <c r="AI35" s="63" t="str">
        <f>IF(AND('Mapa final'!$Y$30="Media",'Mapa final'!$AA$30="Catastrófico"),CONCATENATE("R10C",'Mapa final'!$O$30),"")</f>
        <v/>
      </c>
      <c r="AJ35" s="63" t="str">
        <f>IF(AND('Mapa final'!$Y$31="Media",'Mapa final'!$AA$31="Catastrófico"),CONCATENATE("R10C",'Mapa final'!$O$31),"")</f>
        <v/>
      </c>
      <c r="AK35" s="63" t="str">
        <f>IF(AND('Mapa final'!$Y$32="Media",'Mapa final'!$AA$32="Catastrófico"),CONCATENATE("R10C",'Mapa final'!$O$32),"")</f>
        <v/>
      </c>
      <c r="AL35" s="63" t="str">
        <f>IF(AND('Mapa final'!$Y$33="Media",'Mapa final'!$AA$33="Catastrófico"),CONCATENATE("R10C",'Mapa final'!$O$33),"")</f>
        <v/>
      </c>
      <c r="AM35" s="64" t="str">
        <f>IF(AND('Mapa final'!$Y$34="Media",'Mapa final'!$AA$34="Catastrófico"),CONCATENATE("R10C",'Mapa final'!$O$34),"")</f>
        <v/>
      </c>
      <c r="AN35" s="84"/>
      <c r="AO35" s="386"/>
      <c r="AP35" s="387"/>
      <c r="AQ35" s="387"/>
      <c r="AR35" s="387"/>
      <c r="AS35" s="387"/>
      <c r="AT35" s="388"/>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52"/>
      <c r="C36" s="252"/>
      <c r="D36" s="253"/>
      <c r="E36" s="349" t="s">
        <v>114</v>
      </c>
      <c r="F36" s="350"/>
      <c r="G36" s="350"/>
      <c r="H36" s="350"/>
      <c r="I36" s="350"/>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1" t="s">
        <v>82</v>
      </c>
      <c r="AP36" s="372"/>
      <c r="AQ36" s="372"/>
      <c r="AR36" s="372"/>
      <c r="AS36" s="372"/>
      <c r="AT36" s="37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52"/>
      <c r="C37" s="252"/>
      <c r="D37" s="253"/>
      <c r="E37" s="351"/>
      <c r="F37" s="352"/>
      <c r="G37" s="352"/>
      <c r="H37" s="352"/>
      <c r="I37" s="352"/>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4"/>
      <c r="AP37" s="375"/>
      <c r="AQ37" s="375"/>
      <c r="AR37" s="375"/>
      <c r="AS37" s="375"/>
      <c r="AT37" s="37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52"/>
      <c r="C38" s="252"/>
      <c r="D38" s="253"/>
      <c r="E38" s="353"/>
      <c r="F38" s="354"/>
      <c r="G38" s="354"/>
      <c r="H38" s="354"/>
      <c r="I38" s="352"/>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4"/>
      <c r="AP38" s="375"/>
      <c r="AQ38" s="375"/>
      <c r="AR38" s="375"/>
      <c r="AS38" s="375"/>
      <c r="AT38" s="376"/>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52"/>
      <c r="C39" s="252"/>
      <c r="D39" s="253"/>
      <c r="E39" s="353"/>
      <c r="F39" s="354"/>
      <c r="G39" s="354"/>
      <c r="H39" s="354"/>
      <c r="I39" s="352"/>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4"/>
      <c r="AP39" s="375"/>
      <c r="AQ39" s="375"/>
      <c r="AR39" s="375"/>
      <c r="AS39" s="375"/>
      <c r="AT39" s="376"/>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52"/>
      <c r="C40" s="252"/>
      <c r="D40" s="253"/>
      <c r="E40" s="353"/>
      <c r="F40" s="354"/>
      <c r="G40" s="354"/>
      <c r="H40" s="354"/>
      <c r="I40" s="352"/>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74"/>
      <c r="AP40" s="375"/>
      <c r="AQ40" s="375"/>
      <c r="AR40" s="375"/>
      <c r="AS40" s="375"/>
      <c r="AT40" s="376"/>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52"/>
      <c r="C41" s="252"/>
      <c r="D41" s="253"/>
      <c r="E41" s="353"/>
      <c r="F41" s="354"/>
      <c r="G41" s="354"/>
      <c r="H41" s="354"/>
      <c r="I41" s="352"/>
      <c r="J41" s="77" t="str">
        <f>IF(AND('Mapa final'!$Y$15="Baja",'Mapa final'!$AA$15="Leve"),CONCATENATE("R6C",'Mapa final'!$O$15),"")</f>
        <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str">
        <f>IF(AND('Mapa final'!$Y$15="Baja",'Mapa final'!$AA$15="Menor"),CONCATENATE("R6C",'Mapa final'!$O$15),"")</f>
        <v>R6C1</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str">
        <f>IF(AND('Mapa final'!$Y$15="Baja",'Mapa final'!$AA$15="Moderado"),CONCATENATE("R6C",'Mapa final'!$O$15),"")</f>
        <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74"/>
      <c r="AP41" s="375"/>
      <c r="AQ41" s="375"/>
      <c r="AR41" s="375"/>
      <c r="AS41" s="375"/>
      <c r="AT41" s="376"/>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52"/>
      <c r="C42" s="252"/>
      <c r="D42" s="253"/>
      <c r="E42" s="353"/>
      <c r="F42" s="354"/>
      <c r="G42" s="354"/>
      <c r="H42" s="354"/>
      <c r="I42" s="352"/>
      <c r="J42" s="77" t="str">
        <f>IF(AND('Mapa final'!$Y$16="Baja",'Mapa final'!$AA$16="Leve"),CONCATENATE("R7C",'Mapa final'!$O$16),"")</f>
        <v/>
      </c>
      <c r="K42" s="78" t="e">
        <f>IF(AND('Mapa final'!#REF!="Baja",'Mapa final'!#REF!="Leve"),CONCATENATE("R7C",'Mapa final'!#REF!),"")</f>
        <v>#REF!</v>
      </c>
      <c r="L42" s="78" t="e">
        <f>IF(AND('Mapa final'!#REF!="Baja",'Mapa final'!#REF!="Leve"),CONCATENATE("R7C",'Mapa final'!#REF!),"")</f>
        <v>#REF!</v>
      </c>
      <c r="M42" s="78" t="e">
        <f>IF(AND('Mapa final'!#REF!="Baja",'Mapa final'!#REF!="Leve"),CONCATENATE("R7C",'Mapa final'!#REF!),"")</f>
        <v>#REF!</v>
      </c>
      <c r="N42" s="78" t="e">
        <f>IF(AND('Mapa final'!#REF!="Baja",'Mapa final'!#REF!="Leve"),CONCATENATE("R7C",'Mapa final'!#REF!),"")</f>
        <v>#REF!</v>
      </c>
      <c r="O42" s="79" t="e">
        <f>IF(AND('Mapa final'!#REF!="Baja",'Mapa final'!#REF!="Leve"),CONCATENATE("R7C",'Mapa final'!#REF!),"")</f>
        <v>#REF!</v>
      </c>
      <c r="P42" s="68" t="str">
        <f>IF(AND('Mapa final'!$Y$16="Baja",'Mapa final'!$AA$16="Menor"),CONCATENATE("R7C",'Mapa final'!$O$16),"")</f>
        <v/>
      </c>
      <c r="Q42" s="69" t="e">
        <f>IF(AND('Mapa final'!#REF!="Baja",'Mapa final'!#REF!="Menor"),CONCATENATE("R7C",'Mapa final'!#REF!),"")</f>
        <v>#REF!</v>
      </c>
      <c r="R42" s="69" t="e">
        <f>IF(AND('Mapa final'!#REF!="Baja",'Mapa final'!#REF!="Menor"),CONCATENATE("R7C",'Mapa final'!#REF!),"")</f>
        <v>#REF!</v>
      </c>
      <c r="S42" s="69" t="e">
        <f>IF(AND('Mapa final'!#REF!="Baja",'Mapa final'!#REF!="Menor"),CONCATENATE("R7C",'Mapa final'!#REF!),"")</f>
        <v>#REF!</v>
      </c>
      <c r="T42" s="69" t="e">
        <f>IF(AND('Mapa final'!#REF!="Baja",'Mapa final'!#REF!="Menor"),CONCATENATE("R7C",'Mapa final'!#REF!),"")</f>
        <v>#REF!</v>
      </c>
      <c r="U42" s="70" t="e">
        <f>IF(AND('Mapa final'!#REF!="Baja",'Mapa final'!#REF!="Menor"),CONCATENATE("R7C",'Mapa final'!#REF!),"")</f>
        <v>#REF!</v>
      </c>
      <c r="V42" s="68" t="str">
        <f>IF(AND('Mapa final'!$Y$16="Baja",'Mapa final'!$AA$16="Moderado"),CONCATENATE("R7C",'Mapa final'!$O$16),"")</f>
        <v/>
      </c>
      <c r="W42" s="69" t="e">
        <f>IF(AND('Mapa final'!#REF!="Baja",'Mapa final'!#REF!="Moderado"),CONCATENATE("R7C",'Mapa final'!#REF!),"")</f>
        <v>#REF!</v>
      </c>
      <c r="X42" s="69" t="e">
        <f>IF(AND('Mapa final'!#REF!="Baja",'Mapa final'!#REF!="Moderado"),CONCATENATE("R7C",'Mapa final'!#REF!),"")</f>
        <v>#REF!</v>
      </c>
      <c r="Y42" s="69" t="e">
        <f>IF(AND('Mapa final'!#REF!="Baja",'Mapa final'!#REF!="Moderado"),CONCATENATE("R7C",'Mapa final'!#REF!),"")</f>
        <v>#REF!</v>
      </c>
      <c r="Z42" s="69" t="e">
        <f>IF(AND('Mapa final'!#REF!="Baja",'Mapa final'!#REF!="Moderado"),CONCATENATE("R7C",'Mapa final'!#REF!),"")</f>
        <v>#REF!</v>
      </c>
      <c r="AA42" s="70" t="e">
        <f>IF(AND('Mapa final'!#REF!="Baja",'Mapa final'!#REF!="Moderado"),CONCATENATE("R7C",'Mapa final'!#REF!),"")</f>
        <v>#REF!</v>
      </c>
      <c r="AB42" s="52" t="str">
        <f>IF(AND('Mapa final'!$Y$16="Baja",'Mapa final'!$AA$16="Mayor"),CONCATENATE("R7C",'Mapa final'!$O$16),"")</f>
        <v/>
      </c>
      <c r="AC42" s="53" t="e">
        <f>IF(AND('Mapa final'!#REF!="Baja",'Mapa final'!#REF!="Mayor"),CONCATENATE("R7C",'Mapa final'!#REF!),"")</f>
        <v>#REF!</v>
      </c>
      <c r="AD42" s="58" t="e">
        <f>IF(AND('Mapa final'!#REF!="Baja",'Mapa final'!#REF!="Mayor"),CONCATENATE("R7C",'Mapa final'!#REF!),"")</f>
        <v>#REF!</v>
      </c>
      <c r="AE42" s="58" t="e">
        <f>IF(AND('Mapa final'!#REF!="Baja",'Mapa final'!#REF!="Mayor"),CONCATENATE("R7C",'Mapa final'!#REF!),"")</f>
        <v>#REF!</v>
      </c>
      <c r="AF42" s="58" t="e">
        <f>IF(AND('Mapa final'!#REF!="Baja",'Mapa final'!#REF!="Mayor"),CONCATENATE("R7C",'Mapa final'!#REF!),"")</f>
        <v>#REF!</v>
      </c>
      <c r="AG42" s="54" t="e">
        <f>IF(AND('Mapa final'!#REF!="Baja",'Mapa final'!#REF!="Mayor"),CONCATENATE("R7C",'Mapa final'!#REF!),"")</f>
        <v>#REF!</v>
      </c>
      <c r="AH42" s="55" t="str">
        <f>IF(AND('Mapa final'!$Y$16="Baja",'Mapa final'!$AA$16="Catastrófico"),CONCATENATE("R7C",'Mapa final'!$O$16),"")</f>
        <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4"/>
      <c r="AO42" s="374"/>
      <c r="AP42" s="375"/>
      <c r="AQ42" s="375"/>
      <c r="AR42" s="375"/>
      <c r="AS42" s="375"/>
      <c r="AT42" s="376"/>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52"/>
      <c r="C43" s="252"/>
      <c r="D43" s="253"/>
      <c r="E43" s="353"/>
      <c r="F43" s="354"/>
      <c r="G43" s="354"/>
      <c r="H43" s="354"/>
      <c r="I43" s="352"/>
      <c r="J43" s="77" t="str">
        <f>IF(AND('Mapa final'!$Y$17="Baja",'Mapa final'!$AA$17="Leve"),CONCATENATE("R8C",'Mapa final'!$O$17),"")</f>
        <v/>
      </c>
      <c r="K43" s="78" t="str">
        <f>IF(AND('Mapa final'!$Y$18="Baja",'Mapa final'!$AA$18="Leve"),CONCATENATE("R8C",'Mapa final'!$O$18),"")</f>
        <v/>
      </c>
      <c r="L43" s="78" t="str">
        <f>IF(AND('Mapa final'!$Y$19="Baja",'Mapa final'!$AA$19="Leve"),CONCATENATE("R8C",'Mapa final'!$O$19),"")</f>
        <v/>
      </c>
      <c r="M43" s="78" t="str">
        <f>IF(AND('Mapa final'!$Y$20="Baja",'Mapa final'!$AA$20="Leve"),CONCATENATE("R8C",'Mapa final'!$O$20),"")</f>
        <v/>
      </c>
      <c r="N43" s="78" t="str">
        <f>IF(AND('Mapa final'!$Y$21="Baja",'Mapa final'!$AA$21="Leve"),CONCATENATE("R8C",'Mapa final'!$O$21),"")</f>
        <v/>
      </c>
      <c r="O43" s="79" t="str">
        <f>IF(AND('Mapa final'!$Y$22="Baja",'Mapa final'!$AA$22="Leve"),CONCATENATE("R8C",'Mapa final'!$O$22),"")</f>
        <v/>
      </c>
      <c r="P43" s="68" t="str">
        <f>IF(AND('Mapa final'!$Y$17="Baja",'Mapa final'!$AA$17="Menor"),CONCATENATE("R8C",'Mapa final'!$O$17),"")</f>
        <v/>
      </c>
      <c r="Q43" s="69" t="str">
        <f>IF(AND('Mapa final'!$Y$18="Baja",'Mapa final'!$AA$18="Menor"),CONCATENATE("R8C",'Mapa final'!$O$18),"")</f>
        <v/>
      </c>
      <c r="R43" s="69" t="str">
        <f>IF(AND('Mapa final'!$Y$19="Baja",'Mapa final'!$AA$19="Menor"),CONCATENATE("R8C",'Mapa final'!$O$19),"")</f>
        <v/>
      </c>
      <c r="S43" s="69" t="str">
        <f>IF(AND('Mapa final'!$Y$20="Baja",'Mapa final'!$AA$20="Menor"),CONCATENATE("R8C",'Mapa final'!$O$20),"")</f>
        <v/>
      </c>
      <c r="T43" s="69" t="str">
        <f>IF(AND('Mapa final'!$Y$21="Baja",'Mapa final'!$AA$21="Menor"),CONCATENATE("R8C",'Mapa final'!$O$21),"")</f>
        <v/>
      </c>
      <c r="U43" s="70" t="str">
        <f>IF(AND('Mapa final'!$Y$22="Baja",'Mapa final'!$AA$22="Menor"),CONCATENATE("R8C",'Mapa final'!$O$22),"")</f>
        <v/>
      </c>
      <c r="V43" s="68" t="str">
        <f>IF(AND('Mapa final'!$Y$17="Baja",'Mapa final'!$AA$17="Moderado"),CONCATENATE("R8C",'Mapa final'!$O$17),"")</f>
        <v/>
      </c>
      <c r="W43" s="69" t="str">
        <f>IF(AND('Mapa final'!$Y$18="Baja",'Mapa final'!$AA$18="Moderado"),CONCATENATE("R8C",'Mapa final'!$O$18),"")</f>
        <v/>
      </c>
      <c r="X43" s="69" t="str">
        <f>IF(AND('Mapa final'!$Y$19="Baja",'Mapa final'!$AA$19="Moderado"),CONCATENATE("R8C",'Mapa final'!$O$19),"")</f>
        <v/>
      </c>
      <c r="Y43" s="69" t="str">
        <f>IF(AND('Mapa final'!$Y$20="Baja",'Mapa final'!$AA$20="Moderado"),CONCATENATE("R8C",'Mapa final'!$O$20),"")</f>
        <v/>
      </c>
      <c r="Z43" s="69" t="str">
        <f>IF(AND('Mapa final'!$Y$21="Baja",'Mapa final'!$AA$21="Moderado"),CONCATENATE("R8C",'Mapa final'!$O$21),"")</f>
        <v/>
      </c>
      <c r="AA43" s="70" t="str">
        <f>IF(AND('Mapa final'!$Y$22="Baja",'Mapa final'!$AA$22="Moderado"),CONCATENATE("R8C",'Mapa final'!$O$22),"")</f>
        <v/>
      </c>
      <c r="AB43" s="52" t="str">
        <f>IF(AND('Mapa final'!$Y$17="Baja",'Mapa final'!$AA$17="Mayor"),CONCATENATE("R8C",'Mapa final'!$O$17),"")</f>
        <v/>
      </c>
      <c r="AC43" s="53" t="str">
        <f>IF(AND('Mapa final'!$Y$18="Baja",'Mapa final'!$AA$18="Mayor"),CONCATENATE("R8C",'Mapa final'!$O$18),"")</f>
        <v/>
      </c>
      <c r="AD43" s="58" t="str">
        <f>IF(AND('Mapa final'!$Y$19="Baja",'Mapa final'!$AA$19="Mayor"),CONCATENATE("R8C",'Mapa final'!$O$19),"")</f>
        <v/>
      </c>
      <c r="AE43" s="58" t="str">
        <f>IF(AND('Mapa final'!$Y$20="Baja",'Mapa final'!$AA$20="Mayor"),CONCATENATE("R8C",'Mapa final'!$O$20),"")</f>
        <v/>
      </c>
      <c r="AF43" s="58" t="str">
        <f>IF(AND('Mapa final'!$Y$21="Baja",'Mapa final'!$AA$21="Mayor"),CONCATENATE("R8C",'Mapa final'!$O$21),"")</f>
        <v/>
      </c>
      <c r="AG43" s="54" t="str">
        <f>IF(AND('Mapa final'!$Y$22="Baja",'Mapa final'!$AA$22="Mayor"),CONCATENATE("R8C",'Mapa final'!$O$22),"")</f>
        <v/>
      </c>
      <c r="AH43" s="55" t="str">
        <f>IF(AND('Mapa final'!$Y$17="Baja",'Mapa final'!$AA$17="Catastrófico"),CONCATENATE("R8C",'Mapa final'!$O$17),"")</f>
        <v/>
      </c>
      <c r="AI43" s="56" t="str">
        <f>IF(AND('Mapa final'!$Y$18="Baja",'Mapa final'!$AA$18="Catastrófico"),CONCATENATE("R8C",'Mapa final'!$O$18),"")</f>
        <v/>
      </c>
      <c r="AJ43" s="56" t="str">
        <f>IF(AND('Mapa final'!$Y$19="Baja",'Mapa final'!$AA$19="Catastrófico"),CONCATENATE("R8C",'Mapa final'!$O$19),"")</f>
        <v/>
      </c>
      <c r="AK43" s="56" t="str">
        <f>IF(AND('Mapa final'!$Y$20="Baja",'Mapa final'!$AA$20="Catastrófico"),CONCATENATE("R8C",'Mapa final'!$O$20),"")</f>
        <v/>
      </c>
      <c r="AL43" s="56" t="str">
        <f>IF(AND('Mapa final'!$Y$21="Baja",'Mapa final'!$AA$21="Catastrófico"),CONCATENATE("R8C",'Mapa final'!$O$21),"")</f>
        <v/>
      </c>
      <c r="AM43" s="57" t="str">
        <f>IF(AND('Mapa final'!$Y$22="Baja",'Mapa final'!$AA$22="Catastrófico"),CONCATENATE("R8C",'Mapa final'!$O$22),"")</f>
        <v/>
      </c>
      <c r="AN43" s="84"/>
      <c r="AO43" s="374"/>
      <c r="AP43" s="375"/>
      <c r="AQ43" s="375"/>
      <c r="AR43" s="375"/>
      <c r="AS43" s="375"/>
      <c r="AT43" s="376"/>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52"/>
      <c r="C44" s="252"/>
      <c r="D44" s="253"/>
      <c r="E44" s="353"/>
      <c r="F44" s="354"/>
      <c r="G44" s="354"/>
      <c r="H44" s="354"/>
      <c r="I44" s="352"/>
      <c r="J44" s="77" t="str">
        <f>IF(AND('Mapa final'!$Y$23="Baja",'Mapa final'!$AA$23="Leve"),CONCATENATE("R9C",'Mapa final'!$O$23),"")</f>
        <v/>
      </c>
      <c r="K44" s="78" t="str">
        <f>IF(AND('Mapa final'!$Y$24="Baja",'Mapa final'!$AA$24="Leve"),CONCATENATE("R9C",'Mapa final'!$O$24),"")</f>
        <v/>
      </c>
      <c r="L44" s="78" t="str">
        <f>IF(AND('Mapa final'!$Y$25="Baja",'Mapa final'!$AA$25="Leve"),CONCATENATE("R9C",'Mapa final'!$O$25),"")</f>
        <v/>
      </c>
      <c r="M44" s="78" t="str">
        <f>IF(AND('Mapa final'!$Y$26="Baja",'Mapa final'!$AA$26="Leve"),CONCATENATE("R9C",'Mapa final'!$O$26),"")</f>
        <v/>
      </c>
      <c r="N44" s="78" t="str">
        <f>IF(AND('Mapa final'!$Y$27="Baja",'Mapa final'!$AA$27="Leve"),CONCATENATE("R9C",'Mapa final'!$O$27),"")</f>
        <v/>
      </c>
      <c r="O44" s="79" t="str">
        <f>IF(AND('Mapa final'!$Y$28="Baja",'Mapa final'!$AA$28="Leve"),CONCATENATE("R9C",'Mapa final'!$O$28),"")</f>
        <v/>
      </c>
      <c r="P44" s="68" t="str">
        <f>IF(AND('Mapa final'!$Y$23="Baja",'Mapa final'!$AA$23="Menor"),CONCATENATE("R9C",'Mapa final'!$O$23),"")</f>
        <v/>
      </c>
      <c r="Q44" s="69" t="str">
        <f>IF(AND('Mapa final'!$Y$24="Baja",'Mapa final'!$AA$24="Menor"),CONCATENATE("R9C",'Mapa final'!$O$24),"")</f>
        <v/>
      </c>
      <c r="R44" s="69" t="str">
        <f>IF(AND('Mapa final'!$Y$25="Baja",'Mapa final'!$AA$25="Menor"),CONCATENATE("R9C",'Mapa final'!$O$25),"")</f>
        <v/>
      </c>
      <c r="S44" s="69" t="str">
        <f>IF(AND('Mapa final'!$Y$26="Baja",'Mapa final'!$AA$26="Menor"),CONCATENATE("R9C",'Mapa final'!$O$26),"")</f>
        <v/>
      </c>
      <c r="T44" s="69" t="str">
        <f>IF(AND('Mapa final'!$Y$27="Baja",'Mapa final'!$AA$27="Menor"),CONCATENATE("R9C",'Mapa final'!$O$27),"")</f>
        <v/>
      </c>
      <c r="U44" s="70" t="str">
        <f>IF(AND('Mapa final'!$Y$28="Baja",'Mapa final'!$AA$28="Menor"),CONCATENATE("R9C",'Mapa final'!$O$28),"")</f>
        <v/>
      </c>
      <c r="V44" s="68" t="str">
        <f>IF(AND('Mapa final'!$Y$23="Baja",'Mapa final'!$AA$23="Moderado"),CONCATENATE("R9C",'Mapa final'!$O$23),"")</f>
        <v/>
      </c>
      <c r="W44" s="69" t="str">
        <f>IF(AND('Mapa final'!$Y$24="Baja",'Mapa final'!$AA$24="Moderado"),CONCATENATE("R9C",'Mapa final'!$O$24),"")</f>
        <v/>
      </c>
      <c r="X44" s="69" t="str">
        <f>IF(AND('Mapa final'!$Y$25="Baja",'Mapa final'!$AA$25="Moderado"),CONCATENATE("R9C",'Mapa final'!$O$25),"")</f>
        <v/>
      </c>
      <c r="Y44" s="69" t="str">
        <f>IF(AND('Mapa final'!$Y$26="Baja",'Mapa final'!$AA$26="Moderado"),CONCATENATE("R9C",'Mapa final'!$O$26),"")</f>
        <v/>
      </c>
      <c r="Z44" s="69" t="str">
        <f>IF(AND('Mapa final'!$Y$27="Baja",'Mapa final'!$AA$27="Moderado"),CONCATENATE("R9C",'Mapa final'!$O$27),"")</f>
        <v/>
      </c>
      <c r="AA44" s="70" t="str">
        <f>IF(AND('Mapa final'!$Y$28="Baja",'Mapa final'!$AA$28="Moderado"),CONCATENATE("R9C",'Mapa final'!$O$28),"")</f>
        <v/>
      </c>
      <c r="AB44" s="52" t="str">
        <f>IF(AND('Mapa final'!$Y$23="Baja",'Mapa final'!$AA$23="Mayor"),CONCATENATE("R9C",'Mapa final'!$O$23),"")</f>
        <v/>
      </c>
      <c r="AC44" s="53" t="str">
        <f>IF(AND('Mapa final'!$Y$24="Baja",'Mapa final'!$AA$24="Mayor"),CONCATENATE("R9C",'Mapa final'!$O$24),"")</f>
        <v/>
      </c>
      <c r="AD44" s="58" t="str">
        <f>IF(AND('Mapa final'!$Y$25="Baja",'Mapa final'!$AA$25="Mayor"),CONCATENATE("R9C",'Mapa final'!$O$25),"")</f>
        <v/>
      </c>
      <c r="AE44" s="58" t="str">
        <f>IF(AND('Mapa final'!$Y$26="Baja",'Mapa final'!$AA$26="Mayor"),CONCATENATE("R9C",'Mapa final'!$O$26),"")</f>
        <v/>
      </c>
      <c r="AF44" s="58" t="str">
        <f>IF(AND('Mapa final'!$Y$27="Baja",'Mapa final'!$AA$27="Mayor"),CONCATENATE("R9C",'Mapa final'!$O$27),"")</f>
        <v/>
      </c>
      <c r="AG44" s="54" t="str">
        <f>IF(AND('Mapa final'!$Y$28="Baja",'Mapa final'!$AA$28="Mayor"),CONCATENATE("R9C",'Mapa final'!$O$28),"")</f>
        <v/>
      </c>
      <c r="AH44" s="55" t="str">
        <f>IF(AND('Mapa final'!$Y$23="Baja",'Mapa final'!$AA$23="Catastrófico"),CONCATENATE("R9C",'Mapa final'!$O$23),"")</f>
        <v/>
      </c>
      <c r="AI44" s="56" t="str">
        <f>IF(AND('Mapa final'!$Y$24="Baja",'Mapa final'!$AA$24="Catastrófico"),CONCATENATE("R9C",'Mapa final'!$O$24),"")</f>
        <v/>
      </c>
      <c r="AJ44" s="56" t="str">
        <f>IF(AND('Mapa final'!$Y$25="Baja",'Mapa final'!$AA$25="Catastrófico"),CONCATENATE("R9C",'Mapa final'!$O$25),"")</f>
        <v/>
      </c>
      <c r="AK44" s="56" t="str">
        <f>IF(AND('Mapa final'!$Y$26="Baja",'Mapa final'!$AA$26="Catastrófico"),CONCATENATE("R9C",'Mapa final'!$O$26),"")</f>
        <v/>
      </c>
      <c r="AL44" s="56" t="str">
        <f>IF(AND('Mapa final'!$Y$27="Baja",'Mapa final'!$AA$27="Catastrófico"),CONCATENATE("R9C",'Mapa final'!$O$27),"")</f>
        <v/>
      </c>
      <c r="AM44" s="57" t="str">
        <f>IF(AND('Mapa final'!$Y$28="Baja",'Mapa final'!$AA$28="Catastrófico"),CONCATENATE("R9C",'Mapa final'!$O$28),"")</f>
        <v/>
      </c>
      <c r="AN44" s="84"/>
      <c r="AO44" s="374"/>
      <c r="AP44" s="375"/>
      <c r="AQ44" s="375"/>
      <c r="AR44" s="375"/>
      <c r="AS44" s="375"/>
      <c r="AT44" s="376"/>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52"/>
      <c r="C45" s="252"/>
      <c r="D45" s="253"/>
      <c r="E45" s="355"/>
      <c r="F45" s="356"/>
      <c r="G45" s="356"/>
      <c r="H45" s="356"/>
      <c r="I45" s="356"/>
      <c r="J45" s="80" t="str">
        <f>IF(AND('Mapa final'!$Y$29="Baja",'Mapa final'!$AA$29="Leve"),CONCATENATE("R10C",'Mapa final'!$O$29),"")</f>
        <v/>
      </c>
      <c r="K45" s="81" t="str">
        <f>IF(AND('Mapa final'!$Y$30="Baja",'Mapa final'!$AA$30="Leve"),CONCATENATE("R10C",'Mapa final'!$O$30),"")</f>
        <v/>
      </c>
      <c r="L45" s="81" t="str">
        <f>IF(AND('Mapa final'!$Y$31="Baja",'Mapa final'!$AA$31="Leve"),CONCATENATE("R10C",'Mapa final'!$O$31),"")</f>
        <v/>
      </c>
      <c r="M45" s="81" t="str">
        <f>IF(AND('Mapa final'!$Y$32="Baja",'Mapa final'!$AA$32="Leve"),CONCATENATE("R10C",'Mapa final'!$O$32),"")</f>
        <v/>
      </c>
      <c r="N45" s="81" t="str">
        <f>IF(AND('Mapa final'!$Y$33="Baja",'Mapa final'!$AA$33="Leve"),CONCATENATE("R10C",'Mapa final'!$O$33),"")</f>
        <v/>
      </c>
      <c r="O45" s="82" t="str">
        <f>IF(AND('Mapa final'!$Y$34="Baja",'Mapa final'!$AA$34="Leve"),CONCATENATE("R10C",'Mapa final'!$O$34),"")</f>
        <v/>
      </c>
      <c r="P45" s="68" t="str">
        <f>IF(AND('Mapa final'!$Y$29="Baja",'Mapa final'!$AA$29="Menor"),CONCATENATE("R10C",'Mapa final'!$O$29),"")</f>
        <v/>
      </c>
      <c r="Q45" s="69" t="str">
        <f>IF(AND('Mapa final'!$Y$30="Baja",'Mapa final'!$AA$30="Menor"),CONCATENATE("R10C",'Mapa final'!$O$30),"")</f>
        <v/>
      </c>
      <c r="R45" s="69" t="str">
        <f>IF(AND('Mapa final'!$Y$31="Baja",'Mapa final'!$AA$31="Menor"),CONCATENATE("R10C",'Mapa final'!$O$31),"")</f>
        <v/>
      </c>
      <c r="S45" s="69" t="str">
        <f>IF(AND('Mapa final'!$Y$32="Baja",'Mapa final'!$AA$32="Menor"),CONCATENATE("R10C",'Mapa final'!$O$32),"")</f>
        <v/>
      </c>
      <c r="T45" s="69" t="str">
        <f>IF(AND('Mapa final'!$Y$33="Baja",'Mapa final'!$AA$33="Menor"),CONCATENATE("R10C",'Mapa final'!$O$33),"")</f>
        <v/>
      </c>
      <c r="U45" s="70" t="str">
        <f>IF(AND('Mapa final'!$Y$34="Baja",'Mapa final'!$AA$34="Menor"),CONCATENATE("R10C",'Mapa final'!$O$34),"")</f>
        <v/>
      </c>
      <c r="V45" s="71" t="str">
        <f>IF(AND('Mapa final'!$Y$29="Baja",'Mapa final'!$AA$29="Moderado"),CONCATENATE("R10C",'Mapa final'!$O$29),"")</f>
        <v/>
      </c>
      <c r="W45" s="72" t="str">
        <f>IF(AND('Mapa final'!$Y$30="Baja",'Mapa final'!$AA$30="Moderado"),CONCATENATE("R10C",'Mapa final'!$O$30),"")</f>
        <v/>
      </c>
      <c r="X45" s="72" t="str">
        <f>IF(AND('Mapa final'!$Y$31="Baja",'Mapa final'!$AA$31="Moderado"),CONCATENATE("R10C",'Mapa final'!$O$31),"")</f>
        <v/>
      </c>
      <c r="Y45" s="72" t="str">
        <f>IF(AND('Mapa final'!$Y$32="Baja",'Mapa final'!$AA$32="Moderado"),CONCATENATE("R10C",'Mapa final'!$O$32),"")</f>
        <v/>
      </c>
      <c r="Z45" s="72" t="str">
        <f>IF(AND('Mapa final'!$Y$33="Baja",'Mapa final'!$AA$33="Moderado"),CONCATENATE("R10C",'Mapa final'!$O$33),"")</f>
        <v/>
      </c>
      <c r="AA45" s="73" t="str">
        <f>IF(AND('Mapa final'!$Y$34="Baja",'Mapa final'!$AA$34="Moderado"),CONCATENATE("R10C",'Mapa final'!$O$34),"")</f>
        <v/>
      </c>
      <c r="AB45" s="59" t="str">
        <f>IF(AND('Mapa final'!$Y$29="Baja",'Mapa final'!$AA$29="Mayor"),CONCATENATE("R10C",'Mapa final'!$O$29),"")</f>
        <v/>
      </c>
      <c r="AC45" s="60" t="str">
        <f>IF(AND('Mapa final'!$Y$30="Baja",'Mapa final'!$AA$30="Mayor"),CONCATENATE("R10C",'Mapa final'!$O$30),"")</f>
        <v/>
      </c>
      <c r="AD45" s="60" t="str">
        <f>IF(AND('Mapa final'!$Y$31="Baja",'Mapa final'!$AA$31="Mayor"),CONCATENATE("R10C",'Mapa final'!$O$31),"")</f>
        <v/>
      </c>
      <c r="AE45" s="60" t="str">
        <f>IF(AND('Mapa final'!$Y$32="Baja",'Mapa final'!$AA$32="Mayor"),CONCATENATE("R10C",'Mapa final'!$O$32),"")</f>
        <v/>
      </c>
      <c r="AF45" s="60" t="str">
        <f>IF(AND('Mapa final'!$Y$33="Baja",'Mapa final'!$AA$33="Mayor"),CONCATENATE("R10C",'Mapa final'!$O$33),"")</f>
        <v/>
      </c>
      <c r="AG45" s="61" t="str">
        <f>IF(AND('Mapa final'!$Y$34="Baja",'Mapa final'!$AA$34="Mayor"),CONCATENATE("R10C",'Mapa final'!$O$34),"")</f>
        <v/>
      </c>
      <c r="AH45" s="62" t="str">
        <f>IF(AND('Mapa final'!$Y$29="Baja",'Mapa final'!$AA$29="Catastrófico"),CONCATENATE("R10C",'Mapa final'!$O$29),"")</f>
        <v/>
      </c>
      <c r="AI45" s="63" t="str">
        <f>IF(AND('Mapa final'!$Y$30="Baja",'Mapa final'!$AA$30="Catastrófico"),CONCATENATE("R10C",'Mapa final'!$O$30),"")</f>
        <v/>
      </c>
      <c r="AJ45" s="63" t="str">
        <f>IF(AND('Mapa final'!$Y$31="Baja",'Mapa final'!$AA$31="Catastrófico"),CONCATENATE("R10C",'Mapa final'!$O$31),"")</f>
        <v/>
      </c>
      <c r="AK45" s="63" t="str">
        <f>IF(AND('Mapa final'!$Y$32="Baja",'Mapa final'!$AA$32="Catastrófico"),CONCATENATE("R10C",'Mapa final'!$O$32),"")</f>
        <v/>
      </c>
      <c r="AL45" s="63" t="str">
        <f>IF(AND('Mapa final'!$Y$33="Baja",'Mapa final'!$AA$33="Catastrófico"),CONCATENATE("R10C",'Mapa final'!$O$33),"")</f>
        <v/>
      </c>
      <c r="AM45" s="64" t="str">
        <f>IF(AND('Mapa final'!$Y$34="Baja",'Mapa final'!$AA$34="Catastrófico"),CONCATENATE("R10C",'Mapa final'!$O$34),"")</f>
        <v/>
      </c>
      <c r="AN45" s="84"/>
      <c r="AO45" s="377"/>
      <c r="AP45" s="378"/>
      <c r="AQ45" s="378"/>
      <c r="AR45" s="378"/>
      <c r="AS45" s="378"/>
      <c r="AT45" s="379"/>
    </row>
    <row r="46" spans="1:80" ht="46.5" customHeight="1" x14ac:dyDescent="0.35">
      <c r="A46" s="84"/>
      <c r="B46" s="252"/>
      <c r="C46" s="252"/>
      <c r="D46" s="253"/>
      <c r="E46" s="349" t="s">
        <v>113</v>
      </c>
      <c r="F46" s="350"/>
      <c r="G46" s="350"/>
      <c r="H46" s="350"/>
      <c r="I46" s="368"/>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52"/>
      <c r="C47" s="252"/>
      <c r="D47" s="253"/>
      <c r="E47" s="351"/>
      <c r="F47" s="352"/>
      <c r="G47" s="352"/>
      <c r="H47" s="352"/>
      <c r="I47" s="369"/>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52"/>
      <c r="C48" s="252"/>
      <c r="D48" s="253"/>
      <c r="E48" s="351"/>
      <c r="F48" s="352"/>
      <c r="G48" s="352"/>
      <c r="H48" s="352"/>
      <c r="I48" s="369"/>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52"/>
      <c r="C49" s="252"/>
      <c r="D49" s="253"/>
      <c r="E49" s="353"/>
      <c r="F49" s="354"/>
      <c r="G49" s="354"/>
      <c r="H49" s="354"/>
      <c r="I49" s="369"/>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52"/>
      <c r="C50" s="252"/>
      <c r="D50" s="253"/>
      <c r="E50" s="353"/>
      <c r="F50" s="354"/>
      <c r="G50" s="354"/>
      <c r="H50" s="354"/>
      <c r="I50" s="369"/>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52"/>
      <c r="C51" s="252"/>
      <c r="D51" s="253"/>
      <c r="E51" s="353"/>
      <c r="F51" s="354"/>
      <c r="G51" s="354"/>
      <c r="H51" s="354"/>
      <c r="I51" s="369"/>
      <c r="J51" s="77" t="str">
        <f>IF(AND('Mapa final'!$Y$15="Muy Baja",'Mapa final'!$AA$15="Leve"),CONCATENATE("R6C",'Mapa final'!$O$15),"")</f>
        <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str">
        <f>IF(AND('Mapa final'!$Y$15="Muy Baja",'Mapa final'!$AA$15="Menor"),CONCATENATE("R6C",'Mapa final'!$O$15),"")</f>
        <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str">
        <f>IF(AND('Mapa final'!$Y$15="Muy Baja",'Mapa final'!$AA$15="Moderado"),CONCATENATE("R6C",'Mapa final'!$O$15),"")</f>
        <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52"/>
      <c r="C52" s="252"/>
      <c r="D52" s="253"/>
      <c r="E52" s="353"/>
      <c r="F52" s="354"/>
      <c r="G52" s="354"/>
      <c r="H52" s="354"/>
      <c r="I52" s="369"/>
      <c r="J52" s="77" t="str">
        <f>IF(AND('Mapa final'!$Y$16="Muy Baja",'Mapa final'!$AA$16="Leve"),CONCATENATE("R7C",'Mapa final'!$O$16),"")</f>
        <v/>
      </c>
      <c r="K52" s="78" t="e">
        <f>IF(AND('Mapa final'!#REF!="Muy Baja",'Mapa final'!#REF!="Leve"),CONCATENATE("R7C",'Mapa final'!#REF!),"")</f>
        <v>#REF!</v>
      </c>
      <c r="L52" s="78" t="e">
        <f>IF(AND('Mapa final'!#REF!="Muy Baja",'Mapa final'!#REF!="Leve"),CONCATENATE("R7C",'Mapa final'!#REF!),"")</f>
        <v>#REF!</v>
      </c>
      <c r="M52" s="78" t="e">
        <f>IF(AND('Mapa final'!#REF!="Muy Baja",'Mapa final'!#REF!="Leve"),CONCATENATE("R7C",'Mapa final'!#REF!),"")</f>
        <v>#REF!</v>
      </c>
      <c r="N52" s="78" t="e">
        <f>IF(AND('Mapa final'!#REF!="Muy Baja",'Mapa final'!#REF!="Leve"),CONCATENATE("R7C",'Mapa final'!#REF!),"")</f>
        <v>#REF!</v>
      </c>
      <c r="O52" s="79" t="e">
        <f>IF(AND('Mapa final'!#REF!="Muy Baja",'Mapa final'!#REF!="Leve"),CONCATENATE("R7C",'Mapa final'!#REF!),"")</f>
        <v>#REF!</v>
      </c>
      <c r="P52" s="77" t="str">
        <f>IF(AND('Mapa final'!$Y$16="Muy Baja",'Mapa final'!$AA$16="Menor"),CONCATENATE("R7C",'Mapa final'!$O$16),"")</f>
        <v/>
      </c>
      <c r="Q52" s="78" t="e">
        <f>IF(AND('Mapa final'!#REF!="Muy Baja",'Mapa final'!#REF!="Menor"),CONCATENATE("R7C",'Mapa final'!#REF!),"")</f>
        <v>#REF!</v>
      </c>
      <c r="R52" s="78" t="e">
        <f>IF(AND('Mapa final'!#REF!="Muy Baja",'Mapa final'!#REF!="Menor"),CONCATENATE("R7C",'Mapa final'!#REF!),"")</f>
        <v>#REF!</v>
      </c>
      <c r="S52" s="78" t="e">
        <f>IF(AND('Mapa final'!#REF!="Muy Baja",'Mapa final'!#REF!="Menor"),CONCATENATE("R7C",'Mapa final'!#REF!),"")</f>
        <v>#REF!</v>
      </c>
      <c r="T52" s="78" t="e">
        <f>IF(AND('Mapa final'!#REF!="Muy Baja",'Mapa final'!#REF!="Menor"),CONCATENATE("R7C",'Mapa final'!#REF!),"")</f>
        <v>#REF!</v>
      </c>
      <c r="U52" s="79" t="e">
        <f>IF(AND('Mapa final'!#REF!="Muy Baja",'Mapa final'!#REF!="Menor"),CONCATENATE("R7C",'Mapa final'!#REF!),"")</f>
        <v>#REF!</v>
      </c>
      <c r="V52" s="68" t="str">
        <f>IF(AND('Mapa final'!$Y$16="Muy Baja",'Mapa final'!$AA$16="Moderado"),CONCATENATE("R7C",'Mapa final'!$O$16),"")</f>
        <v/>
      </c>
      <c r="W52" s="69" t="e">
        <f>IF(AND('Mapa final'!#REF!="Muy Baja",'Mapa final'!#REF!="Moderado"),CONCATENATE("R7C",'Mapa final'!#REF!),"")</f>
        <v>#REF!</v>
      </c>
      <c r="X52" s="69" t="e">
        <f>IF(AND('Mapa final'!#REF!="Muy Baja",'Mapa final'!#REF!="Moderado"),CONCATENATE("R7C",'Mapa final'!#REF!),"")</f>
        <v>#REF!</v>
      </c>
      <c r="Y52" s="69" t="e">
        <f>IF(AND('Mapa final'!#REF!="Muy Baja",'Mapa final'!#REF!="Moderado"),CONCATENATE("R7C",'Mapa final'!#REF!),"")</f>
        <v>#REF!</v>
      </c>
      <c r="Z52" s="69" t="e">
        <f>IF(AND('Mapa final'!#REF!="Muy Baja",'Mapa final'!#REF!="Moderado"),CONCATENATE("R7C",'Mapa final'!#REF!),"")</f>
        <v>#REF!</v>
      </c>
      <c r="AA52" s="70" t="e">
        <f>IF(AND('Mapa final'!#REF!="Muy Baja",'Mapa final'!#REF!="Moderado"),CONCATENATE("R7C",'Mapa final'!#REF!),"")</f>
        <v>#REF!</v>
      </c>
      <c r="AB52" s="52" t="str">
        <f>IF(AND('Mapa final'!$Y$16="Muy Baja",'Mapa final'!$AA$16="Mayor"),CONCATENATE("R7C",'Mapa final'!$O$16),"")</f>
        <v/>
      </c>
      <c r="AC52" s="53" t="e">
        <f>IF(AND('Mapa final'!#REF!="Muy Baja",'Mapa final'!#REF!="Mayor"),CONCATENATE("R7C",'Mapa final'!#REF!),"")</f>
        <v>#REF!</v>
      </c>
      <c r="AD52" s="58" t="e">
        <f>IF(AND('Mapa final'!#REF!="Muy Baja",'Mapa final'!#REF!="Mayor"),CONCATENATE("R7C",'Mapa final'!#REF!),"")</f>
        <v>#REF!</v>
      </c>
      <c r="AE52" s="58" t="e">
        <f>IF(AND('Mapa final'!#REF!="Muy Baja",'Mapa final'!#REF!="Mayor"),CONCATENATE("R7C",'Mapa final'!#REF!),"")</f>
        <v>#REF!</v>
      </c>
      <c r="AF52" s="58" t="e">
        <f>IF(AND('Mapa final'!#REF!="Muy Baja",'Mapa final'!#REF!="Mayor"),CONCATENATE("R7C",'Mapa final'!#REF!),"")</f>
        <v>#REF!</v>
      </c>
      <c r="AG52" s="54" t="e">
        <f>IF(AND('Mapa final'!#REF!="Muy Baja",'Mapa final'!#REF!="Mayor"),CONCATENATE("R7C",'Mapa final'!#REF!),"")</f>
        <v>#REF!</v>
      </c>
      <c r="AH52" s="55" t="str">
        <f>IF(AND('Mapa final'!$Y$16="Muy Baja",'Mapa final'!$AA$16="Catastrófico"),CONCATENATE("R7C",'Mapa final'!$O$16),"")</f>
        <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52"/>
      <c r="C53" s="252"/>
      <c r="D53" s="253"/>
      <c r="E53" s="353"/>
      <c r="F53" s="354"/>
      <c r="G53" s="354"/>
      <c r="H53" s="354"/>
      <c r="I53" s="369"/>
      <c r="J53" s="77" t="str">
        <f>IF(AND('Mapa final'!$Y$17="Muy Baja",'Mapa final'!$AA$17="Leve"),CONCATENATE("R8C",'Mapa final'!$O$17),"")</f>
        <v/>
      </c>
      <c r="K53" s="78" t="str">
        <f>IF(AND('Mapa final'!$Y$18="Muy Baja",'Mapa final'!$AA$18="Leve"),CONCATENATE("R8C",'Mapa final'!$O$18),"")</f>
        <v/>
      </c>
      <c r="L53" s="78" t="str">
        <f>IF(AND('Mapa final'!$Y$19="Muy Baja",'Mapa final'!$AA$19="Leve"),CONCATENATE("R8C",'Mapa final'!$O$19),"")</f>
        <v/>
      </c>
      <c r="M53" s="78" t="str">
        <f>IF(AND('Mapa final'!$Y$20="Muy Baja",'Mapa final'!$AA$20="Leve"),CONCATENATE("R8C",'Mapa final'!$O$20),"")</f>
        <v/>
      </c>
      <c r="N53" s="78" t="str">
        <f>IF(AND('Mapa final'!$Y$21="Muy Baja",'Mapa final'!$AA$21="Leve"),CONCATENATE("R8C",'Mapa final'!$O$21),"")</f>
        <v/>
      </c>
      <c r="O53" s="79" t="str">
        <f>IF(AND('Mapa final'!$Y$22="Muy Baja",'Mapa final'!$AA$22="Leve"),CONCATENATE("R8C",'Mapa final'!$O$22),"")</f>
        <v/>
      </c>
      <c r="P53" s="77" t="str">
        <f>IF(AND('Mapa final'!$Y$17="Muy Baja",'Mapa final'!$AA$17="Menor"),CONCATENATE("R8C",'Mapa final'!$O$17),"")</f>
        <v/>
      </c>
      <c r="Q53" s="78" t="str">
        <f>IF(AND('Mapa final'!$Y$18="Muy Baja",'Mapa final'!$AA$18="Menor"),CONCATENATE("R8C",'Mapa final'!$O$18),"")</f>
        <v/>
      </c>
      <c r="R53" s="78" t="str">
        <f>IF(AND('Mapa final'!$Y$19="Muy Baja",'Mapa final'!$AA$19="Menor"),CONCATENATE("R8C",'Mapa final'!$O$19),"")</f>
        <v/>
      </c>
      <c r="S53" s="78" t="str">
        <f>IF(AND('Mapa final'!$Y$20="Muy Baja",'Mapa final'!$AA$20="Menor"),CONCATENATE("R8C",'Mapa final'!$O$20),"")</f>
        <v/>
      </c>
      <c r="T53" s="78" t="str">
        <f>IF(AND('Mapa final'!$Y$21="Muy Baja",'Mapa final'!$AA$21="Menor"),CONCATENATE("R8C",'Mapa final'!$O$21),"")</f>
        <v/>
      </c>
      <c r="U53" s="79" t="str">
        <f>IF(AND('Mapa final'!$Y$22="Muy Baja",'Mapa final'!$AA$22="Menor"),CONCATENATE("R8C",'Mapa final'!$O$22),"")</f>
        <v/>
      </c>
      <c r="V53" s="68" t="str">
        <f>IF(AND('Mapa final'!$Y$17="Muy Baja",'Mapa final'!$AA$17="Moderado"),CONCATENATE("R8C",'Mapa final'!$O$17),"")</f>
        <v/>
      </c>
      <c r="W53" s="69" t="str">
        <f>IF(AND('Mapa final'!$Y$18="Muy Baja",'Mapa final'!$AA$18="Moderado"),CONCATENATE("R8C",'Mapa final'!$O$18),"")</f>
        <v/>
      </c>
      <c r="X53" s="69" t="str">
        <f>IF(AND('Mapa final'!$Y$19="Muy Baja",'Mapa final'!$AA$19="Moderado"),CONCATENATE("R8C",'Mapa final'!$O$19),"")</f>
        <v/>
      </c>
      <c r="Y53" s="69" t="str">
        <f>IF(AND('Mapa final'!$Y$20="Muy Baja",'Mapa final'!$AA$20="Moderado"),CONCATENATE("R8C",'Mapa final'!$O$20),"")</f>
        <v/>
      </c>
      <c r="Z53" s="69" t="str">
        <f>IF(AND('Mapa final'!$Y$21="Muy Baja",'Mapa final'!$AA$21="Moderado"),CONCATENATE("R8C",'Mapa final'!$O$21),"")</f>
        <v/>
      </c>
      <c r="AA53" s="70" t="str">
        <f>IF(AND('Mapa final'!$Y$22="Muy Baja",'Mapa final'!$AA$22="Moderado"),CONCATENATE("R8C",'Mapa final'!$O$22),"")</f>
        <v/>
      </c>
      <c r="AB53" s="52" t="str">
        <f>IF(AND('Mapa final'!$Y$17="Muy Baja",'Mapa final'!$AA$17="Mayor"),CONCATENATE("R8C",'Mapa final'!$O$17),"")</f>
        <v/>
      </c>
      <c r="AC53" s="53" t="str">
        <f>IF(AND('Mapa final'!$Y$18="Muy Baja",'Mapa final'!$AA$18="Mayor"),CONCATENATE("R8C",'Mapa final'!$O$18),"")</f>
        <v/>
      </c>
      <c r="AD53" s="58" t="str">
        <f>IF(AND('Mapa final'!$Y$19="Muy Baja",'Mapa final'!$AA$19="Mayor"),CONCATENATE("R8C",'Mapa final'!$O$19),"")</f>
        <v/>
      </c>
      <c r="AE53" s="58" t="str">
        <f>IF(AND('Mapa final'!$Y$20="Muy Baja",'Mapa final'!$AA$20="Mayor"),CONCATENATE("R8C",'Mapa final'!$O$20),"")</f>
        <v/>
      </c>
      <c r="AF53" s="58" t="str">
        <f>IF(AND('Mapa final'!$Y$21="Muy Baja",'Mapa final'!$AA$21="Mayor"),CONCATENATE("R8C",'Mapa final'!$O$21),"")</f>
        <v/>
      </c>
      <c r="AG53" s="54" t="str">
        <f>IF(AND('Mapa final'!$Y$22="Muy Baja",'Mapa final'!$AA$22="Mayor"),CONCATENATE("R8C",'Mapa final'!$O$22),"")</f>
        <v/>
      </c>
      <c r="AH53" s="55" t="str">
        <f>IF(AND('Mapa final'!$Y$17="Muy Baja",'Mapa final'!$AA$17="Catastrófico"),CONCATENATE("R8C",'Mapa final'!$O$17),"")</f>
        <v/>
      </c>
      <c r="AI53" s="56" t="str">
        <f>IF(AND('Mapa final'!$Y$18="Muy Baja",'Mapa final'!$AA$18="Catastrófico"),CONCATENATE("R8C",'Mapa final'!$O$18),"")</f>
        <v/>
      </c>
      <c r="AJ53" s="56" t="str">
        <f>IF(AND('Mapa final'!$Y$19="Muy Baja",'Mapa final'!$AA$19="Catastrófico"),CONCATENATE("R8C",'Mapa final'!$O$19),"")</f>
        <v/>
      </c>
      <c r="AK53" s="56" t="str">
        <f>IF(AND('Mapa final'!$Y$20="Muy Baja",'Mapa final'!$AA$20="Catastrófico"),CONCATENATE("R8C",'Mapa final'!$O$20),"")</f>
        <v/>
      </c>
      <c r="AL53" s="56" t="str">
        <f>IF(AND('Mapa final'!$Y$21="Muy Baja",'Mapa final'!$AA$21="Catastrófico"),CONCATENATE("R8C",'Mapa final'!$O$21),"")</f>
        <v/>
      </c>
      <c r="AM53" s="57" t="str">
        <f>IF(AND('Mapa final'!$Y$22="Muy Baja",'Mapa final'!$AA$22="Catastrófico"),CONCATENATE("R8C",'Mapa final'!$O$22),"")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52"/>
      <c r="C54" s="252"/>
      <c r="D54" s="253"/>
      <c r="E54" s="353"/>
      <c r="F54" s="354"/>
      <c r="G54" s="354"/>
      <c r="H54" s="354"/>
      <c r="I54" s="369"/>
      <c r="J54" s="77" t="str">
        <f>IF(AND('Mapa final'!$Y$23="Muy Baja",'Mapa final'!$AA$23="Leve"),CONCATENATE("R9C",'Mapa final'!$O$23),"")</f>
        <v/>
      </c>
      <c r="K54" s="78" t="str">
        <f>IF(AND('Mapa final'!$Y$24="Muy Baja",'Mapa final'!$AA$24="Leve"),CONCATENATE("R9C",'Mapa final'!$O$24),"")</f>
        <v/>
      </c>
      <c r="L54" s="78" t="str">
        <f>IF(AND('Mapa final'!$Y$25="Muy Baja",'Mapa final'!$AA$25="Leve"),CONCATENATE("R9C",'Mapa final'!$O$25),"")</f>
        <v/>
      </c>
      <c r="M54" s="78" t="str">
        <f>IF(AND('Mapa final'!$Y$26="Muy Baja",'Mapa final'!$AA$26="Leve"),CONCATENATE("R9C",'Mapa final'!$O$26),"")</f>
        <v/>
      </c>
      <c r="N54" s="78" t="str">
        <f>IF(AND('Mapa final'!$Y$27="Muy Baja",'Mapa final'!$AA$27="Leve"),CONCATENATE("R9C",'Mapa final'!$O$27),"")</f>
        <v/>
      </c>
      <c r="O54" s="79" t="str">
        <f>IF(AND('Mapa final'!$Y$28="Muy Baja",'Mapa final'!$AA$28="Leve"),CONCATENATE("R9C",'Mapa final'!$O$28),"")</f>
        <v/>
      </c>
      <c r="P54" s="77" t="str">
        <f>IF(AND('Mapa final'!$Y$23="Muy Baja",'Mapa final'!$AA$23="Menor"),CONCATENATE("R9C",'Mapa final'!$O$23),"")</f>
        <v/>
      </c>
      <c r="Q54" s="78" t="str">
        <f>IF(AND('Mapa final'!$Y$24="Muy Baja",'Mapa final'!$AA$24="Menor"),CONCATENATE("R9C",'Mapa final'!$O$24),"")</f>
        <v/>
      </c>
      <c r="R54" s="78" t="str">
        <f>IF(AND('Mapa final'!$Y$25="Muy Baja",'Mapa final'!$AA$25="Menor"),CONCATENATE("R9C",'Mapa final'!$O$25),"")</f>
        <v/>
      </c>
      <c r="S54" s="78" t="str">
        <f>IF(AND('Mapa final'!$Y$26="Muy Baja",'Mapa final'!$AA$26="Menor"),CONCATENATE("R9C",'Mapa final'!$O$26),"")</f>
        <v/>
      </c>
      <c r="T54" s="78" t="str">
        <f>IF(AND('Mapa final'!$Y$27="Muy Baja",'Mapa final'!$AA$27="Menor"),CONCATENATE("R9C",'Mapa final'!$O$27),"")</f>
        <v/>
      </c>
      <c r="U54" s="79" t="str">
        <f>IF(AND('Mapa final'!$Y$28="Muy Baja",'Mapa final'!$AA$28="Menor"),CONCATENATE("R9C",'Mapa final'!$O$28),"")</f>
        <v/>
      </c>
      <c r="V54" s="68" t="str">
        <f>IF(AND('Mapa final'!$Y$23="Muy Baja",'Mapa final'!$AA$23="Moderado"),CONCATENATE("R9C",'Mapa final'!$O$23),"")</f>
        <v/>
      </c>
      <c r="W54" s="69" t="str">
        <f>IF(AND('Mapa final'!$Y$24="Muy Baja",'Mapa final'!$AA$24="Moderado"),CONCATENATE("R9C",'Mapa final'!$O$24),"")</f>
        <v/>
      </c>
      <c r="X54" s="69" t="str">
        <f>IF(AND('Mapa final'!$Y$25="Muy Baja",'Mapa final'!$AA$25="Moderado"),CONCATENATE("R9C",'Mapa final'!$O$25),"")</f>
        <v/>
      </c>
      <c r="Y54" s="69" t="str">
        <f>IF(AND('Mapa final'!$Y$26="Muy Baja",'Mapa final'!$AA$26="Moderado"),CONCATENATE("R9C",'Mapa final'!$O$26),"")</f>
        <v/>
      </c>
      <c r="Z54" s="69" t="str">
        <f>IF(AND('Mapa final'!$Y$27="Muy Baja",'Mapa final'!$AA$27="Moderado"),CONCATENATE("R9C",'Mapa final'!$O$27),"")</f>
        <v/>
      </c>
      <c r="AA54" s="70" t="str">
        <f>IF(AND('Mapa final'!$Y$28="Muy Baja",'Mapa final'!$AA$28="Moderado"),CONCATENATE("R9C",'Mapa final'!$O$28),"")</f>
        <v/>
      </c>
      <c r="AB54" s="52" t="str">
        <f>IF(AND('Mapa final'!$Y$23="Muy Baja",'Mapa final'!$AA$23="Mayor"),CONCATENATE("R9C",'Mapa final'!$O$23),"")</f>
        <v/>
      </c>
      <c r="AC54" s="53" t="str">
        <f>IF(AND('Mapa final'!$Y$24="Muy Baja",'Mapa final'!$AA$24="Mayor"),CONCATENATE("R9C",'Mapa final'!$O$24),"")</f>
        <v/>
      </c>
      <c r="AD54" s="58" t="str">
        <f>IF(AND('Mapa final'!$Y$25="Muy Baja",'Mapa final'!$AA$25="Mayor"),CONCATENATE("R9C",'Mapa final'!$O$25),"")</f>
        <v/>
      </c>
      <c r="AE54" s="58" t="str">
        <f>IF(AND('Mapa final'!$Y$26="Muy Baja",'Mapa final'!$AA$26="Mayor"),CONCATENATE("R9C",'Mapa final'!$O$26),"")</f>
        <v/>
      </c>
      <c r="AF54" s="58" t="str">
        <f>IF(AND('Mapa final'!$Y$27="Muy Baja",'Mapa final'!$AA$27="Mayor"),CONCATENATE("R9C",'Mapa final'!$O$27),"")</f>
        <v/>
      </c>
      <c r="AG54" s="54" t="str">
        <f>IF(AND('Mapa final'!$Y$28="Muy Baja",'Mapa final'!$AA$28="Mayor"),CONCATENATE("R9C",'Mapa final'!$O$28),"")</f>
        <v/>
      </c>
      <c r="AH54" s="55" t="str">
        <f>IF(AND('Mapa final'!$Y$23="Muy Baja",'Mapa final'!$AA$23="Catastrófico"),CONCATENATE("R9C",'Mapa final'!$O$23),"")</f>
        <v/>
      </c>
      <c r="AI54" s="56" t="str">
        <f>IF(AND('Mapa final'!$Y$24="Muy Baja",'Mapa final'!$AA$24="Catastrófico"),CONCATENATE("R9C",'Mapa final'!$O$24),"")</f>
        <v/>
      </c>
      <c r="AJ54" s="56" t="str">
        <f>IF(AND('Mapa final'!$Y$25="Muy Baja",'Mapa final'!$AA$25="Catastrófico"),CONCATENATE("R9C",'Mapa final'!$O$25),"")</f>
        <v/>
      </c>
      <c r="AK54" s="56" t="str">
        <f>IF(AND('Mapa final'!$Y$26="Muy Baja",'Mapa final'!$AA$26="Catastrófico"),CONCATENATE("R9C",'Mapa final'!$O$26),"")</f>
        <v/>
      </c>
      <c r="AL54" s="56" t="str">
        <f>IF(AND('Mapa final'!$Y$27="Muy Baja",'Mapa final'!$AA$27="Catastrófico"),CONCATENATE("R9C",'Mapa final'!$O$27),"")</f>
        <v/>
      </c>
      <c r="AM54" s="57" t="str">
        <f>IF(AND('Mapa final'!$Y$28="Muy Baja",'Mapa final'!$AA$28="Catastrófico"),CONCATENATE("R9C",'Mapa final'!$O$28),"")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52"/>
      <c r="C55" s="252"/>
      <c r="D55" s="253"/>
      <c r="E55" s="355"/>
      <c r="F55" s="356"/>
      <c r="G55" s="356"/>
      <c r="H55" s="356"/>
      <c r="I55" s="370"/>
      <c r="J55" s="80" t="str">
        <f>IF(AND('Mapa final'!$Y$29="Muy Baja",'Mapa final'!$AA$29="Leve"),CONCATENATE("R10C",'Mapa final'!$O$29),"")</f>
        <v/>
      </c>
      <c r="K55" s="81" t="str">
        <f>IF(AND('Mapa final'!$Y$30="Muy Baja",'Mapa final'!$AA$30="Leve"),CONCATENATE("R10C",'Mapa final'!$O$30),"")</f>
        <v/>
      </c>
      <c r="L55" s="81" t="str">
        <f>IF(AND('Mapa final'!$Y$31="Muy Baja",'Mapa final'!$AA$31="Leve"),CONCATENATE("R10C",'Mapa final'!$O$31),"")</f>
        <v/>
      </c>
      <c r="M55" s="81" t="str">
        <f>IF(AND('Mapa final'!$Y$32="Muy Baja",'Mapa final'!$AA$32="Leve"),CONCATENATE("R10C",'Mapa final'!$O$32),"")</f>
        <v/>
      </c>
      <c r="N55" s="81" t="str">
        <f>IF(AND('Mapa final'!$Y$33="Muy Baja",'Mapa final'!$AA$33="Leve"),CONCATENATE("R10C",'Mapa final'!$O$33),"")</f>
        <v/>
      </c>
      <c r="O55" s="82" t="str">
        <f>IF(AND('Mapa final'!$Y$34="Muy Baja",'Mapa final'!$AA$34="Leve"),CONCATENATE("R10C",'Mapa final'!$O$34),"")</f>
        <v/>
      </c>
      <c r="P55" s="80" t="str">
        <f>IF(AND('Mapa final'!$Y$29="Muy Baja",'Mapa final'!$AA$29="Menor"),CONCATENATE("R10C",'Mapa final'!$O$29),"")</f>
        <v/>
      </c>
      <c r="Q55" s="81" t="str">
        <f>IF(AND('Mapa final'!$Y$30="Muy Baja",'Mapa final'!$AA$30="Menor"),CONCATENATE("R10C",'Mapa final'!$O$30),"")</f>
        <v/>
      </c>
      <c r="R55" s="81" t="str">
        <f>IF(AND('Mapa final'!$Y$31="Muy Baja",'Mapa final'!$AA$31="Menor"),CONCATENATE("R10C",'Mapa final'!$O$31),"")</f>
        <v/>
      </c>
      <c r="S55" s="81" t="str">
        <f>IF(AND('Mapa final'!$Y$32="Muy Baja",'Mapa final'!$AA$32="Menor"),CONCATENATE("R10C",'Mapa final'!$O$32),"")</f>
        <v/>
      </c>
      <c r="T55" s="81" t="str">
        <f>IF(AND('Mapa final'!$Y$33="Muy Baja",'Mapa final'!$AA$33="Menor"),CONCATENATE("R10C",'Mapa final'!$O$33),"")</f>
        <v/>
      </c>
      <c r="U55" s="82" t="str">
        <f>IF(AND('Mapa final'!$Y$34="Muy Baja",'Mapa final'!$AA$34="Menor"),CONCATENATE("R10C",'Mapa final'!$O$34),"")</f>
        <v/>
      </c>
      <c r="V55" s="71" t="str">
        <f>IF(AND('Mapa final'!$Y$29="Muy Baja",'Mapa final'!$AA$29="Moderado"),CONCATENATE("R10C",'Mapa final'!$O$29),"")</f>
        <v/>
      </c>
      <c r="W55" s="72" t="str">
        <f>IF(AND('Mapa final'!$Y$30="Muy Baja",'Mapa final'!$AA$30="Moderado"),CONCATENATE("R10C",'Mapa final'!$O$30),"")</f>
        <v/>
      </c>
      <c r="X55" s="72" t="str">
        <f>IF(AND('Mapa final'!$Y$31="Muy Baja",'Mapa final'!$AA$31="Moderado"),CONCATENATE("R10C",'Mapa final'!$O$31),"")</f>
        <v/>
      </c>
      <c r="Y55" s="72" t="str">
        <f>IF(AND('Mapa final'!$Y$32="Muy Baja",'Mapa final'!$AA$32="Moderado"),CONCATENATE("R10C",'Mapa final'!$O$32),"")</f>
        <v/>
      </c>
      <c r="Z55" s="72" t="str">
        <f>IF(AND('Mapa final'!$Y$33="Muy Baja",'Mapa final'!$AA$33="Moderado"),CONCATENATE("R10C",'Mapa final'!$O$33),"")</f>
        <v/>
      </c>
      <c r="AA55" s="73" t="str">
        <f>IF(AND('Mapa final'!$Y$34="Muy Baja",'Mapa final'!$AA$34="Moderado"),CONCATENATE("R10C",'Mapa final'!$O$34),"")</f>
        <v/>
      </c>
      <c r="AB55" s="59" t="str">
        <f>IF(AND('Mapa final'!$Y$29="Muy Baja",'Mapa final'!$AA$29="Mayor"),CONCATENATE("R10C",'Mapa final'!$O$29),"")</f>
        <v/>
      </c>
      <c r="AC55" s="60" t="str">
        <f>IF(AND('Mapa final'!$Y$30="Muy Baja",'Mapa final'!$AA$30="Mayor"),CONCATENATE("R10C",'Mapa final'!$O$30),"")</f>
        <v/>
      </c>
      <c r="AD55" s="60" t="str">
        <f>IF(AND('Mapa final'!$Y$31="Muy Baja",'Mapa final'!$AA$31="Mayor"),CONCATENATE("R10C",'Mapa final'!$O$31),"")</f>
        <v/>
      </c>
      <c r="AE55" s="60" t="str">
        <f>IF(AND('Mapa final'!$Y$32="Muy Baja",'Mapa final'!$AA$32="Mayor"),CONCATENATE("R10C",'Mapa final'!$O$32),"")</f>
        <v/>
      </c>
      <c r="AF55" s="60" t="str">
        <f>IF(AND('Mapa final'!$Y$33="Muy Baja",'Mapa final'!$AA$33="Mayor"),CONCATENATE("R10C",'Mapa final'!$O$33),"")</f>
        <v/>
      </c>
      <c r="AG55" s="61" t="str">
        <f>IF(AND('Mapa final'!$Y$34="Muy Baja",'Mapa final'!$AA$34="Mayor"),CONCATENATE("R10C",'Mapa final'!$O$34),"")</f>
        <v/>
      </c>
      <c r="AH55" s="62" t="str">
        <f>IF(AND('Mapa final'!$Y$29="Muy Baja",'Mapa final'!$AA$29="Catastrófico"),CONCATENATE("R10C",'Mapa final'!$O$29),"")</f>
        <v/>
      </c>
      <c r="AI55" s="63" t="str">
        <f>IF(AND('Mapa final'!$Y$30="Muy Baja",'Mapa final'!$AA$30="Catastrófico"),CONCATENATE("R10C",'Mapa final'!$O$30),"")</f>
        <v/>
      </c>
      <c r="AJ55" s="63" t="str">
        <f>IF(AND('Mapa final'!$Y$31="Muy Baja",'Mapa final'!$AA$31="Catastrófico"),CONCATENATE("R10C",'Mapa final'!$O$31),"")</f>
        <v/>
      </c>
      <c r="AK55" s="63" t="str">
        <f>IF(AND('Mapa final'!$Y$32="Muy Baja",'Mapa final'!$AA$32="Catastrófico"),CONCATENATE("R10C",'Mapa final'!$O$32),"")</f>
        <v/>
      </c>
      <c r="AL55" s="63" t="str">
        <f>IF(AND('Mapa final'!$Y$33="Muy Baja",'Mapa final'!$AA$33="Catastrófico"),CONCATENATE("R10C",'Mapa final'!$O$33),"")</f>
        <v/>
      </c>
      <c r="AM55" s="64" t="str">
        <f>IF(AND('Mapa final'!$Y$34="Muy Baja",'Mapa final'!$AA$34="Catastrófico"),CONCATENATE("R10C",'Mapa final'!$O$34),"")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9" t="s">
        <v>112</v>
      </c>
      <c r="K56" s="350"/>
      <c r="L56" s="350"/>
      <c r="M56" s="350"/>
      <c r="N56" s="350"/>
      <c r="O56" s="368"/>
      <c r="P56" s="349" t="s">
        <v>111</v>
      </c>
      <c r="Q56" s="350"/>
      <c r="R56" s="350"/>
      <c r="S56" s="350"/>
      <c r="T56" s="350"/>
      <c r="U56" s="368"/>
      <c r="V56" s="349" t="s">
        <v>110</v>
      </c>
      <c r="W56" s="350"/>
      <c r="X56" s="350"/>
      <c r="Y56" s="350"/>
      <c r="Z56" s="350"/>
      <c r="AA56" s="368"/>
      <c r="AB56" s="349" t="s">
        <v>109</v>
      </c>
      <c r="AC56" s="389"/>
      <c r="AD56" s="350"/>
      <c r="AE56" s="350"/>
      <c r="AF56" s="350"/>
      <c r="AG56" s="368"/>
      <c r="AH56" s="349" t="s">
        <v>108</v>
      </c>
      <c r="AI56" s="350"/>
      <c r="AJ56" s="350"/>
      <c r="AK56" s="350"/>
      <c r="AL56" s="350"/>
      <c r="AM56" s="368"/>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53"/>
      <c r="K57" s="354"/>
      <c r="L57" s="354"/>
      <c r="M57" s="354"/>
      <c r="N57" s="354"/>
      <c r="O57" s="369"/>
      <c r="P57" s="353"/>
      <c r="Q57" s="354"/>
      <c r="R57" s="354"/>
      <c r="S57" s="354"/>
      <c r="T57" s="354"/>
      <c r="U57" s="369"/>
      <c r="V57" s="353"/>
      <c r="W57" s="354"/>
      <c r="X57" s="354"/>
      <c r="Y57" s="354"/>
      <c r="Z57" s="354"/>
      <c r="AA57" s="369"/>
      <c r="AB57" s="353"/>
      <c r="AC57" s="354"/>
      <c r="AD57" s="354"/>
      <c r="AE57" s="354"/>
      <c r="AF57" s="354"/>
      <c r="AG57" s="369"/>
      <c r="AH57" s="353"/>
      <c r="AI57" s="354"/>
      <c r="AJ57" s="354"/>
      <c r="AK57" s="354"/>
      <c r="AL57" s="354"/>
      <c r="AM57" s="369"/>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53"/>
      <c r="K58" s="354"/>
      <c r="L58" s="354"/>
      <c r="M58" s="354"/>
      <c r="N58" s="354"/>
      <c r="O58" s="369"/>
      <c r="P58" s="353"/>
      <c r="Q58" s="354"/>
      <c r="R58" s="354"/>
      <c r="S58" s="354"/>
      <c r="T58" s="354"/>
      <c r="U58" s="369"/>
      <c r="V58" s="353"/>
      <c r="W58" s="354"/>
      <c r="X58" s="354"/>
      <c r="Y58" s="354"/>
      <c r="Z58" s="354"/>
      <c r="AA58" s="369"/>
      <c r="AB58" s="353"/>
      <c r="AC58" s="354"/>
      <c r="AD58" s="354"/>
      <c r="AE58" s="354"/>
      <c r="AF58" s="354"/>
      <c r="AG58" s="369"/>
      <c r="AH58" s="353"/>
      <c r="AI58" s="354"/>
      <c r="AJ58" s="354"/>
      <c r="AK58" s="354"/>
      <c r="AL58" s="354"/>
      <c r="AM58" s="369"/>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53"/>
      <c r="K59" s="354"/>
      <c r="L59" s="354"/>
      <c r="M59" s="354"/>
      <c r="N59" s="354"/>
      <c r="O59" s="369"/>
      <c r="P59" s="353"/>
      <c r="Q59" s="354"/>
      <c r="R59" s="354"/>
      <c r="S59" s="354"/>
      <c r="T59" s="354"/>
      <c r="U59" s="369"/>
      <c r="V59" s="353"/>
      <c r="W59" s="354"/>
      <c r="X59" s="354"/>
      <c r="Y59" s="354"/>
      <c r="Z59" s="354"/>
      <c r="AA59" s="369"/>
      <c r="AB59" s="353"/>
      <c r="AC59" s="354"/>
      <c r="AD59" s="354"/>
      <c r="AE59" s="354"/>
      <c r="AF59" s="354"/>
      <c r="AG59" s="369"/>
      <c r="AH59" s="353"/>
      <c r="AI59" s="354"/>
      <c r="AJ59" s="354"/>
      <c r="AK59" s="354"/>
      <c r="AL59" s="354"/>
      <c r="AM59" s="369"/>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53"/>
      <c r="K60" s="354"/>
      <c r="L60" s="354"/>
      <c r="M60" s="354"/>
      <c r="N60" s="354"/>
      <c r="O60" s="369"/>
      <c r="P60" s="353"/>
      <c r="Q60" s="354"/>
      <c r="R60" s="354"/>
      <c r="S60" s="354"/>
      <c r="T60" s="354"/>
      <c r="U60" s="369"/>
      <c r="V60" s="353"/>
      <c r="W60" s="354"/>
      <c r="X60" s="354"/>
      <c r="Y60" s="354"/>
      <c r="Z60" s="354"/>
      <c r="AA60" s="369"/>
      <c r="AB60" s="353"/>
      <c r="AC60" s="354"/>
      <c r="AD60" s="354"/>
      <c r="AE60" s="354"/>
      <c r="AF60" s="354"/>
      <c r="AG60" s="369"/>
      <c r="AH60" s="353"/>
      <c r="AI60" s="354"/>
      <c r="AJ60" s="354"/>
      <c r="AK60" s="354"/>
      <c r="AL60" s="354"/>
      <c r="AM60" s="369"/>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5"/>
      <c r="K61" s="356"/>
      <c r="L61" s="356"/>
      <c r="M61" s="356"/>
      <c r="N61" s="356"/>
      <c r="O61" s="370"/>
      <c r="P61" s="355"/>
      <c r="Q61" s="356"/>
      <c r="R61" s="356"/>
      <c r="S61" s="356"/>
      <c r="T61" s="356"/>
      <c r="U61" s="370"/>
      <c r="V61" s="355"/>
      <c r="W61" s="356"/>
      <c r="X61" s="356"/>
      <c r="Y61" s="356"/>
      <c r="Z61" s="356"/>
      <c r="AA61" s="370"/>
      <c r="AB61" s="355"/>
      <c r="AC61" s="356"/>
      <c r="AD61" s="356"/>
      <c r="AE61" s="356"/>
      <c r="AF61" s="356"/>
      <c r="AG61" s="370"/>
      <c r="AH61" s="355"/>
      <c r="AI61" s="356"/>
      <c r="AJ61" s="356"/>
      <c r="AK61" s="356"/>
      <c r="AL61" s="356"/>
      <c r="AM61" s="370"/>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90" t="s">
        <v>55</v>
      </c>
      <c r="C1" s="390"/>
      <c r="D1" s="390"/>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1" t="s">
        <v>63</v>
      </c>
      <c r="C1" s="391"/>
      <c r="D1" s="391"/>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2" t="s">
        <v>78</v>
      </c>
      <c r="C1" s="393"/>
      <c r="D1" s="393"/>
      <c r="E1" s="393"/>
      <c r="F1" s="394"/>
    </row>
    <row r="2" spans="2:6" ht="16.5" thickBot="1" x14ac:dyDescent="0.3">
      <c r="B2" s="90"/>
      <c r="C2" s="90"/>
      <c r="D2" s="90"/>
      <c r="E2" s="90"/>
      <c r="F2" s="90"/>
    </row>
    <row r="3" spans="2:6" ht="16.5" thickBot="1" x14ac:dyDescent="0.25">
      <c r="B3" s="396" t="s">
        <v>64</v>
      </c>
      <c r="C3" s="397"/>
      <c r="D3" s="397"/>
      <c r="E3" s="102" t="s">
        <v>65</v>
      </c>
      <c r="F3" s="103" t="s">
        <v>66</v>
      </c>
    </row>
    <row r="4" spans="2:6" ht="31.5" x14ac:dyDescent="0.2">
      <c r="B4" s="398" t="s">
        <v>67</v>
      </c>
      <c r="C4" s="400" t="s">
        <v>13</v>
      </c>
      <c r="D4" s="91" t="s">
        <v>14</v>
      </c>
      <c r="E4" s="92" t="s">
        <v>68</v>
      </c>
      <c r="F4" s="93">
        <v>0.25</v>
      </c>
    </row>
    <row r="5" spans="2:6" ht="47.25" x14ac:dyDescent="0.2">
      <c r="B5" s="399"/>
      <c r="C5" s="401"/>
      <c r="D5" s="94" t="s">
        <v>15</v>
      </c>
      <c r="E5" s="95" t="s">
        <v>69</v>
      </c>
      <c r="F5" s="96">
        <v>0.15</v>
      </c>
    </row>
    <row r="6" spans="2:6" ht="47.25" x14ac:dyDescent="0.2">
      <c r="B6" s="399"/>
      <c r="C6" s="401"/>
      <c r="D6" s="94" t="s">
        <v>16</v>
      </c>
      <c r="E6" s="95" t="s">
        <v>70</v>
      </c>
      <c r="F6" s="96">
        <v>0.1</v>
      </c>
    </row>
    <row r="7" spans="2:6" ht="63" x14ac:dyDescent="0.2">
      <c r="B7" s="399"/>
      <c r="C7" s="401" t="s">
        <v>17</v>
      </c>
      <c r="D7" s="94" t="s">
        <v>10</v>
      </c>
      <c r="E7" s="95" t="s">
        <v>71</v>
      </c>
      <c r="F7" s="96">
        <v>0.25</v>
      </c>
    </row>
    <row r="8" spans="2:6" ht="31.5" x14ac:dyDescent="0.2">
      <c r="B8" s="399"/>
      <c r="C8" s="401"/>
      <c r="D8" s="94" t="s">
        <v>9</v>
      </c>
      <c r="E8" s="95" t="s">
        <v>72</v>
      </c>
      <c r="F8" s="96">
        <v>0.15</v>
      </c>
    </row>
    <row r="9" spans="2:6" ht="47.25" x14ac:dyDescent="0.2">
      <c r="B9" s="399" t="s">
        <v>162</v>
      </c>
      <c r="C9" s="401" t="s">
        <v>18</v>
      </c>
      <c r="D9" s="94" t="s">
        <v>19</v>
      </c>
      <c r="E9" s="95" t="s">
        <v>73</v>
      </c>
      <c r="F9" s="97" t="s">
        <v>74</v>
      </c>
    </row>
    <row r="10" spans="2:6" ht="63" x14ac:dyDescent="0.2">
      <c r="B10" s="399"/>
      <c r="C10" s="401"/>
      <c r="D10" s="94" t="s">
        <v>20</v>
      </c>
      <c r="E10" s="95" t="s">
        <v>75</v>
      </c>
      <c r="F10" s="97" t="s">
        <v>74</v>
      </c>
    </row>
    <row r="11" spans="2:6" ht="47.25" x14ac:dyDescent="0.2">
      <c r="B11" s="399"/>
      <c r="C11" s="401" t="s">
        <v>21</v>
      </c>
      <c r="D11" s="94" t="s">
        <v>22</v>
      </c>
      <c r="E11" s="95" t="s">
        <v>76</v>
      </c>
      <c r="F11" s="97" t="s">
        <v>74</v>
      </c>
    </row>
    <row r="12" spans="2:6" ht="47.25" x14ac:dyDescent="0.2">
      <c r="B12" s="399"/>
      <c r="C12" s="401"/>
      <c r="D12" s="94" t="s">
        <v>23</v>
      </c>
      <c r="E12" s="95" t="s">
        <v>77</v>
      </c>
      <c r="F12" s="97" t="s">
        <v>74</v>
      </c>
    </row>
    <row r="13" spans="2:6" ht="31.5" x14ac:dyDescent="0.2">
      <c r="B13" s="399"/>
      <c r="C13" s="401" t="s">
        <v>24</v>
      </c>
      <c r="D13" s="94" t="s">
        <v>119</v>
      </c>
      <c r="E13" s="95" t="s">
        <v>122</v>
      </c>
      <c r="F13" s="97" t="s">
        <v>74</v>
      </c>
    </row>
    <row r="14" spans="2:6" ht="32.25" thickBot="1" x14ac:dyDescent="0.25">
      <c r="B14" s="402"/>
      <c r="C14" s="403"/>
      <c r="D14" s="98" t="s">
        <v>120</v>
      </c>
      <c r="E14" s="99" t="s">
        <v>121</v>
      </c>
      <c r="F14" s="100" t="s">
        <v>74</v>
      </c>
    </row>
    <row r="15" spans="2:6" ht="49.5" customHeight="1" x14ac:dyDescent="0.2">
      <c r="B15" s="395" t="s">
        <v>159</v>
      </c>
      <c r="C15" s="395"/>
      <c r="D15" s="395"/>
      <c r="E15" s="395"/>
      <c r="F15" s="395"/>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2022-10-11T14:23:51Z</dcterms:modified>
</cp:coreProperties>
</file>